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kathleentomon/Desktop/intercomparison_of_hybrid_CSP_PV_systems/"/>
    </mc:Choice>
  </mc:AlternateContent>
  <xr:revisionPtr revIDLastSave="0" documentId="13_ncr:1_{635FFF3F-5322-5B4D-9CAA-2E908659FB64}" xr6:coauthVersionLast="47" xr6:coauthVersionMax="47" xr10:uidLastSave="{00000000-0000-0000-0000-000000000000}"/>
  <bookViews>
    <workbookView xWindow="35840" yWindow="-940" windowWidth="35840" windowHeight="21100" xr2:uid="{B770127E-2CC2-4C47-8CB4-C0E30B82FA50}"/>
  </bookViews>
  <sheets>
    <sheet name="0 - Overview" sheetId="20" r:id="rId1"/>
    <sheet name="1.1 - HOPP - 30%" sheetId="2" r:id="rId2"/>
    <sheet name="1.2 - HOPP - 50%" sheetId="9" r:id="rId3"/>
    <sheet name="1.3 - HOPP - 70%" sheetId="8" r:id="rId4"/>
    <sheet name="1.4 - HOPP - 90%" sheetId="7" r:id="rId5"/>
    <sheet name="2.1 - AESOPT - 30%" sheetId="15" r:id="rId6"/>
    <sheet name="2.2 - AESOPT - 50%" sheetId="16" r:id="rId7"/>
    <sheet name="2.3 - AESOPT - 70%" sheetId="17" r:id="rId8"/>
    <sheet name="2.4 - AESOPT - 90%" sheetId="18" r:id="rId9"/>
    <sheet name="3.1 - Paper Figures - HOPP" sheetId="11" r:id="rId10"/>
    <sheet name="3.2 - Paper Figures - AESOPT" sheetId="19" r:id="rId1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7" i="19" l="1"/>
  <c r="D57" i="19"/>
  <c r="E57" i="19"/>
  <c r="C58" i="19"/>
  <c r="D58" i="19"/>
  <c r="E58" i="19"/>
  <c r="C59" i="19"/>
  <c r="D59" i="19"/>
  <c r="E59" i="19"/>
  <c r="C60" i="19"/>
  <c r="D60" i="19"/>
  <c r="E60" i="19"/>
  <c r="C61" i="19"/>
  <c r="D61" i="19"/>
  <c r="E61" i="19"/>
  <c r="C62" i="19"/>
  <c r="D62" i="19"/>
  <c r="E62" i="19"/>
  <c r="C63" i="19"/>
  <c r="D63" i="19"/>
  <c r="E63" i="19"/>
  <c r="C41" i="19"/>
  <c r="D41" i="19"/>
  <c r="E41" i="19"/>
  <c r="C42" i="19"/>
  <c r="D42" i="19"/>
  <c r="E42" i="19"/>
  <c r="C43" i="19"/>
  <c r="D43" i="19"/>
  <c r="E43" i="19"/>
  <c r="C44" i="19"/>
  <c r="D44" i="19"/>
  <c r="E44" i="19"/>
  <c r="C45" i="19"/>
  <c r="D45" i="19"/>
  <c r="E45" i="19"/>
  <c r="C46" i="19"/>
  <c r="D46" i="19"/>
  <c r="E46" i="19"/>
  <c r="C47" i="19"/>
  <c r="D47" i="19"/>
  <c r="E47" i="19"/>
  <c r="B63" i="19"/>
  <c r="B47" i="19"/>
  <c r="B62" i="19"/>
  <c r="B46" i="19"/>
  <c r="B61" i="19"/>
  <c r="B45" i="19"/>
  <c r="B60" i="19"/>
  <c r="B44" i="19"/>
  <c r="B59" i="19"/>
  <c r="B43" i="19"/>
  <c r="B58" i="19"/>
  <c r="B42" i="19"/>
  <c r="B57" i="19"/>
  <c r="B41" i="19"/>
  <c r="C25" i="19"/>
  <c r="D25" i="19"/>
  <c r="E25" i="19"/>
  <c r="C26" i="19"/>
  <c r="D26" i="19"/>
  <c r="E26" i="19"/>
  <c r="C27" i="19"/>
  <c r="D27" i="19"/>
  <c r="E27" i="19"/>
  <c r="C28" i="19"/>
  <c r="D28" i="19"/>
  <c r="E28" i="19"/>
  <c r="C29" i="19"/>
  <c r="D29" i="19"/>
  <c r="E29" i="19"/>
  <c r="C30" i="19"/>
  <c r="D30" i="19"/>
  <c r="E30" i="19"/>
  <c r="C31" i="19"/>
  <c r="D31" i="19"/>
  <c r="E31" i="19"/>
  <c r="B31" i="19"/>
  <c r="B30" i="19"/>
  <c r="B29" i="19"/>
  <c r="B28" i="19"/>
  <c r="B27" i="19"/>
  <c r="B26" i="19"/>
  <c r="B25" i="19"/>
  <c r="C66" i="19"/>
  <c r="C9" i="19"/>
  <c r="D9" i="19"/>
  <c r="E9" i="19"/>
  <c r="C10" i="19"/>
  <c r="D10" i="19"/>
  <c r="E10" i="19"/>
  <c r="C11" i="19"/>
  <c r="D11" i="19"/>
  <c r="E11" i="19"/>
  <c r="C12" i="19"/>
  <c r="D12" i="19"/>
  <c r="E12" i="19"/>
  <c r="C13" i="19"/>
  <c r="D13" i="19"/>
  <c r="E13" i="19"/>
  <c r="C14" i="19"/>
  <c r="D14" i="19"/>
  <c r="E14" i="19"/>
  <c r="C15" i="19"/>
  <c r="D15" i="19"/>
  <c r="E15" i="19"/>
  <c r="B15" i="19"/>
  <c r="B14" i="19"/>
  <c r="B13" i="19"/>
  <c r="B12" i="19"/>
  <c r="B11" i="19"/>
  <c r="B10" i="19"/>
  <c r="B9" i="19"/>
  <c r="F86" i="18"/>
  <c r="F51" i="18"/>
  <c r="F44" i="18"/>
  <c r="F43" i="18"/>
  <c r="F29" i="18"/>
  <c r="F28" i="18"/>
  <c r="F27" i="18"/>
  <c r="F12" i="18"/>
  <c r="F11" i="18"/>
  <c r="F86" i="17"/>
  <c r="F44" i="17"/>
  <c r="F43" i="17"/>
  <c r="F29" i="17"/>
  <c r="F28" i="17"/>
  <c r="F27" i="17"/>
  <c r="F12" i="17"/>
  <c r="F11" i="17"/>
  <c r="F58" i="16"/>
  <c r="F57" i="16"/>
  <c r="F51" i="16"/>
  <c r="F30" i="16"/>
  <c r="F29" i="16"/>
  <c r="F27" i="16"/>
  <c r="F12" i="16"/>
  <c r="F11" i="16"/>
  <c r="F32" i="15"/>
  <c r="F29" i="15"/>
  <c r="F27" i="15"/>
  <c r="F22" i="15"/>
  <c r="F12" i="15"/>
  <c r="F11" i="15"/>
  <c r="C67" i="19" l="1"/>
  <c r="B66" i="19"/>
  <c r="B67" i="19"/>
  <c r="F58" i="9" l="1"/>
  <c r="F57" i="9"/>
  <c r="F29" i="9"/>
  <c r="F27" i="9"/>
  <c r="F12" i="9"/>
  <c r="F11" i="9"/>
  <c r="F51" i="9"/>
  <c r="F30" i="9"/>
  <c r="F86" i="7" l="1"/>
  <c r="F51" i="7"/>
  <c r="F44" i="7"/>
  <c r="F43" i="7"/>
  <c r="F19" i="7"/>
  <c r="F18" i="7"/>
  <c r="F28" i="7" s="1"/>
  <c r="F27" i="7"/>
  <c r="F11" i="7"/>
  <c r="B8" i="11"/>
  <c r="F29" i="7"/>
  <c r="F12" i="7"/>
  <c r="F44" i="8"/>
  <c r="F43" i="8"/>
  <c r="F28" i="8"/>
  <c r="F12" i="8"/>
  <c r="F11" i="8"/>
  <c r="B30" i="11"/>
  <c r="B31" i="11"/>
  <c r="B29" i="11"/>
  <c r="B28" i="11"/>
  <c r="B27" i="11"/>
  <c r="B26" i="11"/>
  <c r="B25" i="11"/>
  <c r="F29" i="2"/>
  <c r="F27" i="2"/>
  <c r="F12" i="2"/>
  <c r="F11" i="2"/>
  <c r="B65" i="11"/>
  <c r="B64" i="11"/>
  <c r="C61" i="11"/>
  <c r="D61" i="11"/>
  <c r="E61" i="11"/>
  <c r="B61" i="11"/>
  <c r="C44" i="11"/>
  <c r="D44" i="11"/>
  <c r="E44" i="11"/>
  <c r="B44" i="11"/>
  <c r="D27" i="11"/>
  <c r="E27" i="11"/>
  <c r="C27" i="11"/>
  <c r="D28" i="11"/>
  <c r="E28" i="11"/>
  <c r="D29" i="11"/>
  <c r="E29" i="11"/>
  <c r="D30" i="11"/>
  <c r="E30" i="11"/>
  <c r="D31" i="11"/>
  <c r="E31" i="11"/>
  <c r="C29" i="11"/>
  <c r="C30" i="11"/>
  <c r="C31" i="11"/>
  <c r="C28" i="11"/>
  <c r="D26" i="11"/>
  <c r="E26" i="11"/>
  <c r="C26" i="11"/>
  <c r="D25" i="11"/>
  <c r="E25" i="11"/>
  <c r="C25" i="11"/>
  <c r="D53" i="11"/>
  <c r="B10" i="11"/>
  <c r="C10" i="11"/>
  <c r="D10" i="11"/>
  <c r="E10" i="11"/>
  <c r="E8" i="11"/>
  <c r="C59" i="11"/>
  <c r="D59" i="11"/>
  <c r="E59" i="11"/>
  <c r="C60" i="11"/>
  <c r="D60" i="11"/>
  <c r="E60" i="11"/>
  <c r="C62" i="11"/>
  <c r="D62" i="11"/>
  <c r="E62" i="11"/>
  <c r="C63" i="11"/>
  <c r="D63" i="11"/>
  <c r="E63" i="11"/>
  <c r="C64" i="11"/>
  <c r="D64" i="11"/>
  <c r="E64" i="11"/>
  <c r="C65" i="11"/>
  <c r="D65" i="11"/>
  <c r="E65" i="11"/>
  <c r="B63" i="11"/>
  <c r="B62" i="11"/>
  <c r="B60" i="11"/>
  <c r="B59" i="11"/>
  <c r="C42" i="11"/>
  <c r="D42" i="11"/>
  <c r="E42" i="11"/>
  <c r="C43" i="11"/>
  <c r="D43" i="11"/>
  <c r="E43" i="11"/>
  <c r="C45" i="11"/>
  <c r="D45" i="11"/>
  <c r="E45" i="11"/>
  <c r="C46" i="11"/>
  <c r="D46" i="11"/>
  <c r="E46" i="11"/>
  <c r="C47" i="11"/>
  <c r="D47" i="11"/>
  <c r="E47" i="11"/>
  <c r="C48" i="11"/>
  <c r="D48" i="11"/>
  <c r="E48" i="11"/>
  <c r="B46" i="11"/>
  <c r="B45" i="11"/>
  <c r="B43" i="11"/>
  <c r="B42" i="11"/>
  <c r="C14" i="11"/>
  <c r="D14" i="11"/>
  <c r="E14" i="11"/>
  <c r="B14" i="11"/>
  <c r="C13" i="11"/>
  <c r="D13" i="11"/>
  <c r="E13" i="11"/>
  <c r="B13" i="11"/>
  <c r="C12" i="11"/>
  <c r="D12" i="11"/>
  <c r="E12" i="11"/>
  <c r="B12" i="11"/>
  <c r="C11" i="11"/>
  <c r="D11" i="11"/>
  <c r="E11" i="11"/>
  <c r="B11" i="11"/>
  <c r="C9" i="11"/>
  <c r="D9" i="11"/>
  <c r="E9" i="11"/>
  <c r="B9" i="11"/>
  <c r="C8" i="11"/>
  <c r="D8" i="11"/>
  <c r="C69" i="11" l="1"/>
  <c r="B69" i="11"/>
  <c r="B48" i="11"/>
  <c r="B47" i="11"/>
  <c r="C68" i="11"/>
  <c r="B68" i="11"/>
  <c r="F76" i="8" l="1"/>
  <c r="F75" i="8"/>
  <c r="F96" i="8"/>
  <c r="F97" i="8"/>
  <c r="F100" i="8"/>
  <c r="F101" i="8"/>
  <c r="F102" i="8"/>
  <c r="F103" i="8"/>
  <c r="F104" i="8"/>
  <c r="F95" i="8"/>
  <c r="F90" i="8"/>
  <c r="F92" i="8"/>
  <c r="F91" i="8"/>
  <c r="I71" i="8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62" i="9"/>
  <c r="I61" i="9"/>
  <c r="F62" i="9"/>
  <c r="F63" i="9"/>
  <c r="F64" i="9"/>
  <c r="F65" i="9"/>
  <c r="F66" i="9"/>
  <c r="F67" i="9"/>
  <c r="F68" i="9"/>
  <c r="F69" i="9"/>
  <c r="F70" i="9"/>
  <c r="F71" i="9"/>
  <c r="F72" i="9"/>
  <c r="F73" i="9"/>
  <c r="F74" i="9"/>
  <c r="F75" i="9"/>
  <c r="F76" i="9"/>
  <c r="F77" i="9"/>
  <c r="F78" i="9"/>
  <c r="F79" i="9"/>
  <c r="F80" i="9"/>
  <c r="F81" i="9"/>
  <c r="F82" i="9"/>
  <c r="F83" i="9"/>
  <c r="F84" i="9"/>
  <c r="F85" i="9"/>
  <c r="F86" i="9"/>
  <c r="F87" i="9"/>
  <c r="F88" i="9"/>
  <c r="F89" i="9"/>
  <c r="F90" i="9"/>
  <c r="F91" i="9"/>
  <c r="F92" i="9"/>
  <c r="F93" i="9"/>
  <c r="F94" i="9"/>
  <c r="F61" i="9"/>
  <c r="I38" i="9"/>
  <c r="I39" i="9"/>
  <c r="I40" i="9"/>
  <c r="I41" i="9"/>
  <c r="I42" i="9"/>
  <c r="I43" i="9"/>
  <c r="I44" i="9"/>
  <c r="I45" i="9"/>
  <c r="I37" i="9"/>
  <c r="H115" i="9"/>
  <c r="F54" i="2"/>
  <c r="F55" i="2"/>
  <c r="F56" i="2"/>
  <c r="F57" i="2"/>
  <c r="F58" i="2"/>
  <c r="F59" i="2"/>
  <c r="F53" i="2"/>
  <c r="F51" i="2"/>
  <c r="F32" i="2"/>
  <c r="F97" i="2"/>
  <c r="F100" i="2"/>
  <c r="F101" i="2"/>
  <c r="F102" i="2"/>
  <c r="F103" i="2"/>
  <c r="F104" i="2"/>
  <c r="F105" i="2"/>
  <c r="F106" i="2"/>
  <c r="F107" i="2"/>
  <c r="F108" i="2"/>
  <c r="F109" i="2"/>
  <c r="F95" i="2"/>
  <c r="F22" i="2"/>
  <c r="F27" i="8" l="1"/>
  <c r="F29" i="8"/>
</calcChain>
</file>

<file path=xl/sharedStrings.xml><?xml version="1.0" encoding="utf-8"?>
<sst xmlns="http://schemas.openxmlformats.org/spreadsheetml/2006/main" count="2865" uniqueCount="277">
  <si>
    <t>Type</t>
  </si>
  <si>
    <t>Symbol</t>
  </si>
  <si>
    <t xml:space="preserve">Description </t>
  </si>
  <si>
    <t>Unit</t>
  </si>
  <si>
    <t>Partners</t>
  </si>
  <si>
    <t>Key Performance Indicators (KPIs)</t>
  </si>
  <si>
    <t>AEY</t>
  </si>
  <si>
    <t>Annual Energy Yield</t>
  </si>
  <si>
    <t>GWh</t>
  </si>
  <si>
    <t>Annual HTF energy into from field (CSP-only)</t>
  </si>
  <si>
    <t>GWht</t>
  </si>
  <si>
    <t>HCF</t>
  </si>
  <si>
    <t>Hybrid Capacity Factor</t>
  </si>
  <si>
    <t>%</t>
  </si>
  <si>
    <t>NPV</t>
  </si>
  <si>
    <t>Net Present Value</t>
  </si>
  <si>
    <t>MEUR</t>
  </si>
  <si>
    <t>PPA</t>
  </si>
  <si>
    <t>Power Purchase Agreement</t>
  </si>
  <si>
    <t>EUR/MWh</t>
  </si>
  <si>
    <t>LCOE</t>
  </si>
  <si>
    <t>CAPEX</t>
  </si>
  <si>
    <t>Capital Expenditure</t>
  </si>
  <si>
    <t>OPEX</t>
  </si>
  <si>
    <t>Operational Expenditure</t>
  </si>
  <si>
    <t>kEUR/year</t>
  </si>
  <si>
    <t>Revenues</t>
  </si>
  <si>
    <t>AF</t>
  </si>
  <si>
    <t>Availability Factor</t>
  </si>
  <si>
    <t>EH_UF</t>
  </si>
  <si>
    <t>Electric Heater Utilization Factor</t>
  </si>
  <si>
    <t>TES_PV_fraction</t>
  </si>
  <si>
    <t>Fraction of TES charged by PV+EH</t>
  </si>
  <si>
    <t>c_block</t>
  </si>
  <si>
    <t>Specifc cost of the power block</t>
  </si>
  <si>
    <t>EUR/kW</t>
  </si>
  <si>
    <t>eta_blk_des</t>
  </si>
  <si>
    <r>
      <rPr>
        <sz val="11"/>
        <color rgb="FF000000"/>
        <rFont val="Calibri"/>
        <family val="2"/>
      </rPr>
      <t>Design Efficiency of the PB (</t>
    </r>
    <r>
      <rPr>
        <sz val="11"/>
        <color rgb="FFFF0000"/>
        <rFont val="Calibri"/>
        <family val="2"/>
      </rPr>
      <t>NET</t>
    </r>
    <r>
      <rPr>
        <sz val="11"/>
        <color rgb="FF000000"/>
        <rFont val="Calibri"/>
        <family val="2"/>
      </rPr>
      <t>)</t>
    </r>
  </si>
  <si>
    <t>f_AEY_CSP</t>
  </si>
  <si>
    <t>Share of AEY - CSP</t>
  </si>
  <si>
    <t>f_AEY_PV</t>
  </si>
  <si>
    <t>Share of AEY - PV</t>
  </si>
  <si>
    <t>f_AEY_BESS</t>
  </si>
  <si>
    <t>Share of AEY - BESS</t>
  </si>
  <si>
    <t>AEY - CSP</t>
  </si>
  <si>
    <t>AEY - PV</t>
  </si>
  <si>
    <t>AEY - BESS (Discharge)</t>
  </si>
  <si>
    <t>EW_PV</t>
  </si>
  <si>
    <t>Electricity Curtailed PV and Wasted</t>
  </si>
  <si>
    <t>EEH_PV</t>
  </si>
  <si>
    <t>Electricity from PV to EH</t>
  </si>
  <si>
    <t>EBESS_PV</t>
  </si>
  <si>
    <t>Electricity from PV to BESS</t>
  </si>
  <si>
    <t>CF_tot</t>
  </si>
  <si>
    <t>Total Capacity Factor</t>
  </si>
  <si>
    <t>CF_CSP</t>
  </si>
  <si>
    <t>CSP production over CSP installed capacity</t>
  </si>
  <si>
    <t>CF_PV</t>
  </si>
  <si>
    <t>PV production over PV installed capacity</t>
  </si>
  <si>
    <t>CF_BESS</t>
  </si>
  <si>
    <t>BESS production over BESS installed capacity</t>
  </si>
  <si>
    <t>Costs</t>
  </si>
  <si>
    <t>CAPEX_CSP</t>
  </si>
  <si>
    <t>Capital Expenditure - CSP</t>
  </si>
  <si>
    <t>CAPEX_PV</t>
  </si>
  <si>
    <t>Capital Expenditure - PV</t>
  </si>
  <si>
    <t>CAPEX_BESS</t>
  </si>
  <si>
    <t>Capital Expenditure - BESS</t>
  </si>
  <si>
    <t>C_tower</t>
  </si>
  <si>
    <t>Tower Cost</t>
  </si>
  <si>
    <t>C_receiver</t>
  </si>
  <si>
    <t>Receiver Cost</t>
  </si>
  <si>
    <t>C_field</t>
  </si>
  <si>
    <t>Field Cost</t>
  </si>
  <si>
    <t>C_site_CSP</t>
  </si>
  <si>
    <t>Site Improvement Cost - CSP</t>
  </si>
  <si>
    <t>C_storage</t>
  </si>
  <si>
    <t>Storage Cost</t>
  </si>
  <si>
    <t>C_block</t>
  </si>
  <si>
    <t>Block Cost</t>
  </si>
  <si>
    <t>C_bop</t>
  </si>
  <si>
    <t>Bop Cost</t>
  </si>
  <si>
    <t>C_heater</t>
  </si>
  <si>
    <t>Heater Cost</t>
  </si>
  <si>
    <t>C_land_CSP</t>
  </si>
  <si>
    <t>Land Cost - CSP</t>
  </si>
  <si>
    <t>C_year_CSP</t>
  </si>
  <si>
    <t>Annual fixed operating Cost - CSP</t>
  </si>
  <si>
    <t>C_OM_CSP</t>
  </si>
  <si>
    <t>Annual variable operating Cost - CSP</t>
  </si>
  <si>
    <t>C_cap_CSP</t>
  </si>
  <si>
    <t>Total capital cost - CSP</t>
  </si>
  <si>
    <t>C_modules_PV</t>
  </si>
  <si>
    <t>Modules Cost - PV</t>
  </si>
  <si>
    <t>C_BoS_PV</t>
  </si>
  <si>
    <t>Bos Cost - PV</t>
  </si>
  <si>
    <t>C_site_PV</t>
  </si>
  <si>
    <t>Site Improvement Cost - PV</t>
  </si>
  <si>
    <t>C_inverter_PV</t>
  </si>
  <si>
    <t>Inverter Cost - PV</t>
  </si>
  <si>
    <t>C_land_PV</t>
  </si>
  <si>
    <t>Land Cost - PV</t>
  </si>
  <si>
    <t>C_year_PV</t>
  </si>
  <si>
    <t>Annual fixed operating Cost - PV</t>
  </si>
  <si>
    <t>C_cap_PV</t>
  </si>
  <si>
    <t>Total capital cost - PV</t>
  </si>
  <si>
    <t>C_BoS_BESS</t>
  </si>
  <si>
    <t>Bos Cost - BESS</t>
  </si>
  <si>
    <t>C_PCS_BESS</t>
  </si>
  <si>
    <t>Power Convertion System - BESS</t>
  </si>
  <si>
    <t>C_ES_BESS</t>
  </si>
  <si>
    <t>Energy Storage Cost - BESS</t>
  </si>
  <si>
    <t>C_replacement_BESS</t>
  </si>
  <si>
    <t>Replacement Cost - BESS</t>
  </si>
  <si>
    <t>C_year_BESS</t>
  </si>
  <si>
    <t>Annual fixed operating Cost - BESS</t>
  </si>
  <si>
    <t>c_OM_BESS</t>
  </si>
  <si>
    <t>Annual variable operating Cost - BESS</t>
  </si>
  <si>
    <t>C_Cap_BESS</t>
  </si>
  <si>
    <t>Total capital cost - BESS</t>
  </si>
  <si>
    <t>C_year</t>
  </si>
  <si>
    <t>Total Annual cost</t>
  </si>
  <si>
    <t>MEUR/year</t>
  </si>
  <si>
    <t>Design</t>
  </si>
  <si>
    <t>Q_field_des</t>
  </si>
  <si>
    <t>Design Solar Field Power</t>
  </si>
  <si>
    <t>MW</t>
  </si>
  <si>
    <t>A_SF</t>
  </si>
  <si>
    <t>Area of the SF</t>
  </si>
  <si>
    <t>m2</t>
  </si>
  <si>
    <t>A_land_CSP_tot</t>
  </si>
  <si>
    <t>Total Land Area CSP</t>
  </si>
  <si>
    <t>eff_SF_des</t>
  </si>
  <si>
    <t>Design Solar Field Efficiency</t>
  </si>
  <si>
    <t>n_heliostat</t>
  </si>
  <si>
    <t>Number of Heliostat</t>
  </si>
  <si>
    <t>-</t>
  </si>
  <si>
    <t>SM</t>
  </si>
  <si>
    <t>Solar Multiple</t>
  </si>
  <si>
    <t>H_tower</t>
  </si>
  <si>
    <t>Tower height</t>
  </si>
  <si>
    <t>m</t>
  </si>
  <si>
    <t>Q_rec_des</t>
  </si>
  <si>
    <t>Design Receiver Output</t>
  </si>
  <si>
    <t>H_rec</t>
  </si>
  <si>
    <t>Height of the Receiver</t>
  </si>
  <si>
    <t>D_rec</t>
  </si>
  <si>
    <t>Diameter of the Receiver</t>
  </si>
  <si>
    <t>rec_eff_design</t>
  </si>
  <si>
    <t>Total Receiver Efficiency</t>
  </si>
  <si>
    <t>rec_eff_th_design</t>
  </si>
  <si>
    <t>Receiver Thermal Efficiency</t>
  </si>
  <si>
    <t>A_receiver</t>
  </si>
  <si>
    <t>Area of the receiver</t>
  </si>
  <si>
    <t>m_flow_rec</t>
  </si>
  <si>
    <t>Design mass flow rate receiver</t>
  </si>
  <si>
    <t>kg/s</t>
  </si>
  <si>
    <t>T_hot_set_REC/EH</t>
  </si>
  <si>
    <t>Design hot temperature REC/EH</t>
  </si>
  <si>
    <t>C</t>
  </si>
  <si>
    <t>T_cold_set_REC/EH</t>
  </si>
  <si>
    <t>Q_name_EH</t>
  </si>
  <si>
    <t>Design thermal power EH</t>
  </si>
  <si>
    <t>EH_eff_design</t>
  </si>
  <si>
    <t>Design EH efficiency</t>
  </si>
  <si>
    <t>m_flow_EH_des</t>
  </si>
  <si>
    <t>Design EH mass flow rate</t>
  </si>
  <si>
    <t>P_name_EH</t>
  </si>
  <si>
    <t>Design electrical power EH</t>
  </si>
  <si>
    <t>EH_W_min</t>
  </si>
  <si>
    <t>Mimum power to run EH</t>
  </si>
  <si>
    <t>t_storage</t>
  </si>
  <si>
    <t>TES hours</t>
  </si>
  <si>
    <t>h</t>
  </si>
  <si>
    <t>H_storage</t>
  </si>
  <si>
    <t>Height of the TES tank</t>
  </si>
  <si>
    <t>D_storage</t>
  </si>
  <si>
    <t>Diameter of the TES tank</t>
  </si>
  <si>
    <t>A_surf_TES</t>
  </si>
  <si>
    <t>Surface losses area TES</t>
  </si>
  <si>
    <t>E_max</t>
  </si>
  <si>
    <t>Maximum Energy that can be stored in the TES</t>
  </si>
  <si>
    <t>MWh</t>
  </si>
  <si>
    <t>Q_flow_des</t>
  </si>
  <si>
    <t>Design thermal power to PB</t>
  </si>
  <si>
    <r>
      <t xml:space="preserve">Design </t>
    </r>
    <r>
      <rPr>
        <sz val="11"/>
        <color rgb="FFFF0000"/>
        <rFont val="Calibri"/>
        <family val="2"/>
      </rPr>
      <t>NET</t>
    </r>
    <r>
      <rPr>
        <sz val="11"/>
        <color rgb="FF000000"/>
        <rFont val="Calibri"/>
        <family val="2"/>
      </rPr>
      <t xml:space="preserve"> Efficiency of the PB</t>
    </r>
  </si>
  <si>
    <t>TIT</t>
  </si>
  <si>
    <t>Turbine Inlet Temperature</t>
  </si>
  <si>
    <t>T_hot_MS</t>
  </si>
  <si>
    <t>Molten Salt Hot Temperature - PB</t>
  </si>
  <si>
    <t>T_return_MS</t>
  </si>
  <si>
    <t>Molten Salt Cold Temperature - PB</t>
  </si>
  <si>
    <t>T_amb_PB</t>
  </si>
  <si>
    <t>Design ambient temperature - PB</t>
  </si>
  <si>
    <t>P_gross</t>
  </si>
  <si>
    <t>Design gross electrical power - PB</t>
  </si>
  <si>
    <t>P_net</t>
  </si>
  <si>
    <t>Design net electrical power - PB</t>
  </si>
  <si>
    <t>PV_P_AC</t>
  </si>
  <si>
    <t>Design AC Power - PV</t>
  </si>
  <si>
    <t>PV_P_DC</t>
  </si>
  <si>
    <t>Design DC Power - PV</t>
  </si>
  <si>
    <t>PV_r_DCAC</t>
  </si>
  <si>
    <t>DC-to-AC ratio</t>
  </si>
  <si>
    <t>A_PV_field</t>
  </si>
  <si>
    <t>Area of the PV field</t>
  </si>
  <si>
    <t>A_land_PV_tot</t>
  </si>
  <si>
    <t>Total land occupied by the PV plant</t>
  </si>
  <si>
    <t>PV_GCR</t>
  </si>
  <si>
    <t>GCR</t>
  </si>
  <si>
    <t>PV_tilt</t>
  </si>
  <si>
    <t>Design tilt PV</t>
  </si>
  <si>
    <t>deg</t>
  </si>
  <si>
    <t>PV_azimuth</t>
  </si>
  <si>
    <t>Design azimuth PV</t>
  </si>
  <si>
    <t>eta_inv</t>
  </si>
  <si>
    <t>Inverter design efficiency</t>
  </si>
  <si>
    <t>P_max</t>
  </si>
  <si>
    <t>Maximum power injectable to the grid</t>
  </si>
  <si>
    <t>BESS_h</t>
  </si>
  <si>
    <t>BESS hours of storage</t>
  </si>
  <si>
    <t>P_BESS</t>
  </si>
  <si>
    <t>Design power BESS</t>
  </si>
  <si>
    <t>E_BESS</t>
  </si>
  <si>
    <t>Energy storage Capacity - BESS</t>
  </si>
  <si>
    <t>Annual BESS cycles</t>
  </si>
  <si>
    <t>N_cycle_max</t>
  </si>
  <si>
    <t>Maximum cycle per BESS</t>
  </si>
  <si>
    <t>N_replacement</t>
  </si>
  <si>
    <t>Number of replacements BESS</t>
  </si>
  <si>
    <t>EUR Conversion Factor</t>
  </si>
  <si>
    <t> </t>
  </si>
  <si>
    <t>REV</t>
  </si>
  <si>
    <t>HOPP-30%</t>
  </si>
  <si>
    <t>HOPP-50%</t>
  </si>
  <si>
    <t>HOPP-70%</t>
  </si>
  <si>
    <t>HOPP-90%</t>
  </si>
  <si>
    <t>MoSES</t>
  </si>
  <si>
    <t>YACOP</t>
  </si>
  <si>
    <t>AESOPT</t>
  </si>
  <si>
    <t>HOPP</t>
  </si>
  <si>
    <t>Appendix C - Results of fixed design comparison</t>
  </si>
  <si>
    <t xml:space="preserve">Figure 35: KPIs of the hybrid CSP system evaluated with different modeling tools using the optimal design of HOPP solutions for different values of the HCF. </t>
  </si>
  <si>
    <t>30% HCF solution</t>
  </si>
  <si>
    <t>50% HCF solution</t>
  </si>
  <si>
    <t>70% HCF solution</t>
  </si>
  <si>
    <t>90% HCF solution</t>
  </si>
  <si>
    <t>AESOPT-30%</t>
  </si>
  <si>
    <t>AESOPT-50%</t>
  </si>
  <si>
    <t>AESOPT-70%</t>
  </si>
  <si>
    <t>AESOPT-90%</t>
  </si>
  <si>
    <t xml:space="preserve">Figure 36: KPIs of the hybrid CSP system evaluated with different modeling tools using the optimal design of AESOPT solutions for different values of the HCF. </t>
  </si>
  <si>
    <t>Title:</t>
  </si>
  <si>
    <t>Description</t>
  </si>
  <si>
    <t>Sheet</t>
  </si>
  <si>
    <t>intercomparison_of_hybrid_CSP_PV_systems_fixed_HCF_design_results</t>
  </si>
  <si>
    <t>1.1 - HOPP 30%</t>
  </si>
  <si>
    <t>1.2 - HOPP 50%</t>
  </si>
  <si>
    <t>1.3 - HOPP 70%</t>
  </si>
  <si>
    <t>1.4 - HOPP 90%</t>
  </si>
  <si>
    <t>2.1 - AESOPT 30%</t>
  </si>
  <si>
    <t>1.2 - AESOPT 50%</t>
  </si>
  <si>
    <t>1.3 - AESOPT 70%</t>
  </si>
  <si>
    <t>1.4- AESOPT 90%</t>
  </si>
  <si>
    <t>2.2 - Paper Figures AESOPT</t>
  </si>
  <si>
    <t>2.1 - Paper Figures HOPP</t>
  </si>
  <si>
    <t>This sheet contains the results of all models running a fixed design obtained from the optimization performed by HOPP for a hybrid capacity value of 30%.</t>
  </si>
  <si>
    <t>This sheet contains the results of all models running a fixed design obtained from the optimization performed by HOPP for a hybrid capacity value of 50%.</t>
  </si>
  <si>
    <t>This sheet contains the results of all models running a fixed design obtained from the optimization performed by HOPP for a hybrid capacity value of 70%.</t>
  </si>
  <si>
    <t>This sheet contains the results of all models running a fixed design obtained from the optimization performed by HOPP for a hybrid capacity value of 90%.</t>
  </si>
  <si>
    <t>This sheet contains the results of all models running a fixed design obtained from the optimization performed by AESOPT for a hybrid capacity value of 30%.</t>
  </si>
  <si>
    <t>This sheet contains the results of all models running a fixed design obtained from the optimization performed by AESOPT for a hybrid capacity value of 50%.</t>
  </si>
  <si>
    <t>This sheet contains the results of all models running a fixed design obtained from the optimization performed by AESOPT for a hybrid capacity value of 70%.</t>
  </si>
  <si>
    <t>This sheet contains the results of all models running a fixed design obtained from the optimization performed by AESOPT for a hybrid capacity value of 90%.</t>
  </si>
  <si>
    <t>This excel workbook contains the results of a verification study done between the 4 models. The first verification was taken by fixing the design that was found by the HOPP model at 30%, 50%, 70%, and 90% hybrid capacity factor (HCF). The remaining three models were run with fixed designs. A second verification was performed the same way with the results for the AESOPT model.</t>
  </si>
  <si>
    <t>This sheet contains all the paper figures associated with running a fixed design obtained from the optimization performed by HOPP.</t>
  </si>
  <si>
    <t>This sheet contains all the paper figures associated with running a fixed design obtained from the optimization performed by AESOPT.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</si>
</sst>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  <numFmt numFmtId="167" formatCode="0.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FF0000"/>
      <name val="Calibri"/>
      <family val="2"/>
    </font>
    <font>
      <sz val="11"/>
      <color rgb="FF444444"/>
      <name val="Calibri"/>
      <family val="2"/>
      <charset val="1"/>
    </font>
    <font>
      <sz val="11"/>
      <color rgb="FF002060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Aptos Narrow"/>
      <family val="2"/>
    </font>
    <font>
      <sz val="11"/>
      <name val="Aptos Narrow"/>
      <family val="2"/>
    </font>
    <font>
      <sz val="11"/>
      <color rgb="FF000000"/>
      <name val="Aptos Narrow"/>
      <family val="2"/>
    </font>
    <font>
      <sz val="11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 (Body)"/>
    </font>
    <font>
      <b/>
      <sz val="11"/>
      <name val="Calibri"/>
      <family val="2"/>
    </font>
    <font>
      <b/>
      <sz val="11"/>
      <name val="Aptos Narrow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BEEF1"/>
        <bgColor rgb="FF000000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/>
    <xf numFmtId="0" fontId="7" fillId="0" borderId="0" xfId="0" applyFont="1"/>
    <xf numFmtId="0" fontId="0" fillId="0" borderId="0" xfId="0" applyAlignment="1">
      <alignment wrapText="1"/>
    </xf>
    <xf numFmtId="0" fontId="5" fillId="0" borderId="7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/>
    <xf numFmtId="2" fontId="0" fillId="0" borderId="0" xfId="0" applyNumberFormat="1"/>
    <xf numFmtId="0" fontId="8" fillId="0" borderId="0" xfId="0" applyFont="1" applyAlignment="1">
      <alignment wrapText="1"/>
    </xf>
    <xf numFmtId="0" fontId="9" fillId="0" borderId="9" xfId="0" applyFont="1" applyBorder="1" applyAlignment="1">
      <alignment horizontal="center" vertical="center"/>
    </xf>
    <xf numFmtId="166" fontId="0" fillId="0" borderId="0" xfId="0" applyNumberFormat="1"/>
    <xf numFmtId="0" fontId="10" fillId="0" borderId="0" xfId="0" applyFont="1"/>
    <xf numFmtId="0" fontId="5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0" xfId="2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 vertical="center"/>
    </xf>
    <xf numFmtId="16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164" fontId="0" fillId="0" borderId="0" xfId="2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4" fontId="7" fillId="0" borderId="0" xfId="0" applyNumberFormat="1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165" fontId="11" fillId="0" borderId="9" xfId="1" applyNumberFormat="1" applyFont="1" applyFill="1" applyBorder="1" applyAlignment="1">
      <alignment horizontal="center"/>
    </xf>
    <xf numFmtId="2" fontId="11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1" fontId="11" fillId="0" borderId="9" xfId="0" applyNumberFormat="1" applyFont="1" applyBorder="1" applyAlignment="1">
      <alignment horizontal="center"/>
    </xf>
    <xf numFmtId="2" fontId="12" fillId="0" borderId="4" xfId="0" applyNumberFormat="1" applyFont="1" applyBorder="1" applyAlignment="1">
      <alignment horizontal="center" vertical="center"/>
    </xf>
    <xf numFmtId="2" fontId="12" fillId="0" borderId="9" xfId="0" applyNumberFormat="1" applyFont="1" applyBorder="1" applyAlignment="1">
      <alignment horizontal="center" vertical="center"/>
    </xf>
    <xf numFmtId="1" fontId="12" fillId="0" borderId="9" xfId="0" applyNumberFormat="1" applyFont="1" applyBorder="1" applyAlignment="1">
      <alignment horizontal="center" vertical="center"/>
    </xf>
    <xf numFmtId="164" fontId="12" fillId="0" borderId="4" xfId="0" applyNumberFormat="1" applyFont="1" applyBorder="1" applyAlignment="1">
      <alignment horizontal="center" vertical="center"/>
    </xf>
    <xf numFmtId="1" fontId="12" fillId="0" borderId="9" xfId="2" applyNumberFormat="1" applyFont="1" applyFill="1" applyBorder="1" applyAlignment="1">
      <alignment horizontal="center" vertical="center"/>
    </xf>
    <xf numFmtId="2" fontId="12" fillId="0" borderId="9" xfId="1" applyNumberFormat="1" applyFont="1" applyFill="1" applyBorder="1" applyAlignment="1">
      <alignment horizontal="center" vertical="center"/>
    </xf>
    <xf numFmtId="167" fontId="12" fillId="0" borderId="9" xfId="0" applyNumberFormat="1" applyFont="1" applyBorder="1" applyAlignment="1">
      <alignment horizontal="center" vertical="center"/>
    </xf>
    <xf numFmtId="0" fontId="12" fillId="0" borderId="9" xfId="1" applyNumberFormat="1" applyFont="1" applyFill="1" applyBorder="1" applyAlignment="1">
      <alignment horizontal="center" vertical="center"/>
    </xf>
    <xf numFmtId="164" fontId="12" fillId="0" borderId="9" xfId="1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9" fontId="11" fillId="0" borderId="9" xfId="1" applyFont="1" applyFill="1" applyBorder="1" applyAlignment="1">
      <alignment horizontal="center"/>
    </xf>
    <xf numFmtId="2" fontId="11" fillId="0" borderId="9" xfId="1" applyNumberFormat="1" applyFont="1" applyFill="1" applyBorder="1" applyAlignment="1">
      <alignment horizontal="center"/>
    </xf>
    <xf numFmtId="2" fontId="12" fillId="0" borderId="9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0" fillId="0" borderId="0" xfId="1" applyNumberFormat="1" applyFont="1"/>
    <xf numFmtId="0" fontId="3" fillId="0" borderId="0" xfId="0" applyFont="1"/>
    <xf numFmtId="0" fontId="15" fillId="0" borderId="0" xfId="0" applyFont="1"/>
    <xf numFmtId="0" fontId="16" fillId="0" borderId="4" xfId="0" applyFont="1" applyBorder="1" applyAlignment="1">
      <alignment horizontal="center"/>
    </xf>
    <xf numFmtId="0" fontId="17" fillId="0" borderId="0" xfId="0" applyFont="1"/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/>
    <xf numFmtId="2" fontId="19" fillId="0" borderId="4" xfId="0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/>
    </xf>
    <xf numFmtId="165" fontId="19" fillId="0" borderId="9" xfId="1" applyNumberFormat="1" applyFont="1" applyBorder="1" applyAlignment="1">
      <alignment horizontal="center"/>
    </xf>
    <xf numFmtId="2" fontId="19" fillId="0" borderId="9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/>
    </xf>
    <xf numFmtId="1" fontId="19" fillId="0" borderId="9" xfId="0" applyNumberFormat="1" applyFont="1" applyBorder="1" applyAlignment="1">
      <alignment horizontal="center"/>
    </xf>
    <xf numFmtId="9" fontId="19" fillId="0" borderId="9" xfId="1" applyFont="1" applyBorder="1" applyAlignment="1">
      <alignment horizontal="center"/>
    </xf>
    <xf numFmtId="1" fontId="12" fillId="0" borderId="9" xfId="2" applyNumberFormat="1" applyFont="1" applyBorder="1" applyAlignment="1">
      <alignment horizontal="center" vertical="center"/>
    </xf>
    <xf numFmtId="2" fontId="12" fillId="0" borderId="9" xfId="1" applyNumberFormat="1" applyFont="1" applyBorder="1" applyAlignment="1">
      <alignment horizontal="center" vertical="center"/>
    </xf>
    <xf numFmtId="0" fontId="12" fillId="0" borderId="9" xfId="1" applyNumberFormat="1" applyFont="1" applyBorder="1" applyAlignment="1">
      <alignment horizontal="center" vertical="center"/>
    </xf>
    <xf numFmtId="164" fontId="12" fillId="0" borderId="9" xfId="1" applyNumberFormat="1" applyFont="1" applyBorder="1" applyAlignment="1">
      <alignment horizontal="center" vertical="center"/>
    </xf>
    <xf numFmtId="2" fontId="19" fillId="3" borderId="12" xfId="0" applyNumberFormat="1" applyFont="1" applyFill="1" applyBorder="1" applyAlignment="1">
      <alignment horizontal="center"/>
    </xf>
    <xf numFmtId="2" fontId="19" fillId="3" borderId="13" xfId="0" applyNumberFormat="1" applyFont="1" applyFill="1" applyBorder="1" applyAlignment="1">
      <alignment horizontal="center"/>
    </xf>
    <xf numFmtId="165" fontId="19" fillId="3" borderId="13" xfId="1" applyNumberFormat="1" applyFont="1" applyFill="1" applyBorder="1" applyAlignment="1">
      <alignment horizontal="center"/>
    </xf>
    <xf numFmtId="2" fontId="19" fillId="3" borderId="13" xfId="0" applyNumberFormat="1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/>
    </xf>
    <xf numFmtId="1" fontId="19" fillId="3" borderId="13" xfId="0" applyNumberFormat="1" applyFont="1" applyFill="1" applyBorder="1" applyAlignment="1">
      <alignment horizontal="center"/>
    </xf>
    <xf numFmtId="9" fontId="19" fillId="3" borderId="13" xfId="1" applyFont="1" applyFill="1" applyBorder="1" applyAlignment="1">
      <alignment horizontal="center"/>
    </xf>
    <xf numFmtId="2" fontId="12" fillId="3" borderId="15" xfId="0" applyNumberFormat="1" applyFont="1" applyFill="1" applyBorder="1" applyAlignment="1">
      <alignment horizontal="center" vertical="center"/>
    </xf>
    <xf numFmtId="2" fontId="12" fillId="3" borderId="13" xfId="0" applyNumberFormat="1" applyFont="1" applyFill="1" applyBorder="1" applyAlignment="1">
      <alignment horizontal="center" vertical="center"/>
    </xf>
    <xf numFmtId="164" fontId="12" fillId="3" borderId="13" xfId="0" applyNumberFormat="1" applyFont="1" applyFill="1" applyBorder="1" applyAlignment="1">
      <alignment horizontal="center" vertical="center"/>
    </xf>
    <xf numFmtId="1" fontId="12" fillId="3" borderId="13" xfId="0" applyNumberFormat="1" applyFont="1" applyFill="1" applyBorder="1" applyAlignment="1">
      <alignment horizontal="center" vertical="center"/>
    </xf>
    <xf numFmtId="164" fontId="12" fillId="3" borderId="15" xfId="0" applyNumberFormat="1" applyFont="1" applyFill="1" applyBorder="1" applyAlignment="1">
      <alignment horizontal="center" vertical="center"/>
    </xf>
    <xf numFmtId="1" fontId="12" fillId="3" borderId="13" xfId="2" applyNumberFormat="1" applyFont="1" applyFill="1" applyBorder="1" applyAlignment="1">
      <alignment horizontal="center" vertical="center"/>
    </xf>
    <xf numFmtId="2" fontId="12" fillId="3" borderId="13" xfId="1" applyNumberFormat="1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167" fontId="12" fillId="3" borderId="13" xfId="0" applyNumberFormat="1" applyFont="1" applyFill="1" applyBorder="1" applyAlignment="1">
      <alignment horizontal="center" vertical="center"/>
    </xf>
    <xf numFmtId="0" fontId="12" fillId="3" borderId="13" xfId="1" applyNumberFormat="1" applyFont="1" applyFill="1" applyBorder="1" applyAlignment="1">
      <alignment horizontal="center" vertical="center"/>
    </xf>
    <xf numFmtId="164" fontId="12" fillId="3" borderId="13" xfId="1" applyNumberFormat="1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2" fontId="19" fillId="0" borderId="9" xfId="1" applyNumberFormat="1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2" fontId="19" fillId="3" borderId="12" xfId="0" applyNumberFormat="1" applyFont="1" applyFill="1" applyBorder="1" applyAlignment="1">
      <alignment horizontal="center" vertical="center"/>
    </xf>
    <xf numFmtId="2" fontId="19" fillId="3" borderId="13" xfId="1" applyNumberFormat="1" applyFont="1" applyFill="1" applyBorder="1" applyAlignment="1">
      <alignment horizontal="center" vertical="center"/>
    </xf>
    <xf numFmtId="2" fontId="19" fillId="3" borderId="13" xfId="1" applyNumberFormat="1" applyFont="1" applyFill="1" applyBorder="1" applyAlignment="1">
      <alignment horizontal="center"/>
    </xf>
    <xf numFmtId="2" fontId="12" fillId="3" borderId="13" xfId="2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 vertical="center"/>
    </xf>
    <xf numFmtId="2" fontId="2" fillId="3" borderId="14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2" fontId="2" fillId="0" borderId="9" xfId="0" applyNumberFormat="1" applyFont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2" fontId="11" fillId="0" borderId="0" xfId="0" applyNumberFormat="1" applyFont="1" applyAlignment="1">
      <alignment horizontal="center"/>
    </xf>
    <xf numFmtId="164" fontId="2" fillId="0" borderId="9" xfId="0" applyNumberFormat="1" applyFont="1" applyBorder="1" applyAlignment="1">
      <alignment horizontal="center" vertical="center"/>
    </xf>
    <xf numFmtId="2" fontId="19" fillId="0" borderId="16" xfId="0" applyNumberFormat="1" applyFont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 vertical="center"/>
    </xf>
    <xf numFmtId="2" fontId="19" fillId="0" borderId="17" xfId="1" applyNumberFormat="1" applyFont="1" applyFill="1" applyBorder="1" applyAlignment="1">
      <alignment horizontal="center" vertical="center"/>
    </xf>
    <xf numFmtId="2" fontId="19" fillId="0" borderId="17" xfId="0" applyNumberFormat="1" applyFont="1" applyBorder="1" applyAlignment="1">
      <alignment horizontal="center"/>
    </xf>
    <xf numFmtId="2" fontId="11" fillId="0" borderId="17" xfId="0" applyNumberFormat="1" applyFont="1" applyBorder="1" applyAlignment="1">
      <alignment horizont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2" fontId="11" fillId="0" borderId="0" xfId="1" applyNumberFormat="1" applyFont="1" applyFill="1" applyBorder="1" applyAlignment="1">
      <alignment horizontal="center" vertical="center"/>
    </xf>
    <xf numFmtId="2" fontId="11" fillId="0" borderId="0" xfId="1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7" fillId="0" borderId="13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2" fontId="11" fillId="0" borderId="9" xfId="1" applyNumberFormat="1" applyFont="1" applyBorder="1" applyAlignment="1">
      <alignment horizontal="center"/>
    </xf>
    <xf numFmtId="2" fontId="11" fillId="0" borderId="17" xfId="1" applyNumberFormat="1" applyFont="1" applyFill="1" applyBorder="1" applyAlignment="1">
      <alignment horizontal="center"/>
    </xf>
    <xf numFmtId="2" fontId="19" fillId="0" borderId="17" xfId="1" applyNumberFormat="1" applyFont="1" applyFill="1" applyBorder="1" applyAlignment="1">
      <alignment horizontal="center"/>
    </xf>
    <xf numFmtId="2" fontId="12" fillId="0" borderId="15" xfId="0" applyNumberFormat="1" applyFont="1" applyBorder="1" applyAlignment="1">
      <alignment horizontal="center" vertical="center"/>
    </xf>
    <xf numFmtId="2" fontId="12" fillId="0" borderId="13" xfId="0" applyNumberFormat="1" applyFont="1" applyBorder="1" applyAlignment="1">
      <alignment horizontal="center" vertical="center"/>
    </xf>
    <xf numFmtId="2" fontId="12" fillId="0" borderId="13" xfId="2" applyNumberFormat="1" applyFont="1" applyFill="1" applyBorder="1" applyAlignment="1">
      <alignment horizontal="center" vertical="center"/>
    </xf>
    <xf numFmtId="2" fontId="12" fillId="0" borderId="13" xfId="1" applyNumberFormat="1" applyFont="1" applyFill="1" applyBorder="1" applyAlignment="1">
      <alignment horizontal="center" vertical="center"/>
    </xf>
    <xf numFmtId="1" fontId="12" fillId="0" borderId="13" xfId="2" applyNumberFormat="1" applyFont="1" applyFill="1" applyBorder="1" applyAlignment="1">
      <alignment horizontal="center" vertical="center"/>
    </xf>
    <xf numFmtId="2" fontId="12" fillId="0" borderId="14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12" fillId="0" borderId="19" xfId="0" applyFont="1" applyBorder="1"/>
    <xf numFmtId="0" fontId="17" fillId="0" borderId="19" xfId="0" applyFont="1" applyBorder="1" applyAlignment="1">
      <alignment horizontal="center"/>
    </xf>
    <xf numFmtId="4" fontId="13" fillId="0" borderId="20" xfId="0" applyNumberFormat="1" applyFont="1" applyBorder="1" applyAlignment="1">
      <alignment horizontal="center" vertical="center"/>
    </xf>
    <xf numFmtId="0" fontId="16" fillId="0" borderId="4" xfId="0" applyFont="1" applyBorder="1"/>
    <xf numFmtId="0" fontId="3" fillId="2" borderId="4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/>
    </xf>
    <xf numFmtId="2" fontId="11" fillId="2" borderId="9" xfId="0" applyNumberFormat="1" applyFont="1" applyFill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65" fontId="11" fillId="2" borderId="9" xfId="1" applyNumberFormat="1" applyFont="1" applyFill="1" applyBorder="1" applyAlignment="1">
      <alignment horizontal="center"/>
    </xf>
    <xf numFmtId="165" fontId="11" fillId="0" borderId="13" xfId="1" applyNumberFormat="1" applyFont="1" applyFill="1" applyBorder="1" applyAlignment="1">
      <alignment horizontal="center"/>
    </xf>
    <xf numFmtId="2" fontId="11" fillId="2" borderId="9" xfId="0" applyNumberFormat="1" applyFont="1" applyFill="1" applyBorder="1" applyAlignment="1">
      <alignment horizontal="center" vertical="center"/>
    </xf>
    <xf numFmtId="2" fontId="11" fillId="0" borderId="13" xfId="0" applyNumberFormat="1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1" fontId="11" fillId="2" borderId="9" xfId="0" applyNumberFormat="1" applyFont="1" applyFill="1" applyBorder="1" applyAlignment="1">
      <alignment horizontal="center"/>
    </xf>
    <xf numFmtId="1" fontId="11" fillId="0" borderId="13" xfId="0" applyNumberFormat="1" applyFont="1" applyBorder="1" applyAlignment="1">
      <alignment horizontal="center"/>
    </xf>
    <xf numFmtId="2" fontId="12" fillId="2" borderId="4" xfId="0" applyNumberFormat="1" applyFont="1" applyFill="1" applyBorder="1" applyAlignment="1">
      <alignment horizontal="center" vertical="center"/>
    </xf>
    <xf numFmtId="2" fontId="12" fillId="2" borderId="9" xfId="0" applyNumberFormat="1" applyFont="1" applyFill="1" applyBorder="1" applyAlignment="1">
      <alignment horizontal="center" vertical="center"/>
    </xf>
    <xf numFmtId="164" fontId="12" fillId="2" borderId="9" xfId="0" applyNumberFormat="1" applyFont="1" applyFill="1" applyBorder="1" applyAlignment="1">
      <alignment horizontal="center" vertical="center"/>
    </xf>
    <xf numFmtId="164" fontId="12" fillId="0" borderId="13" xfId="0" applyNumberFormat="1" applyFont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/>
    </xf>
    <xf numFmtId="1" fontId="12" fillId="0" borderId="13" xfId="0" applyNumberFormat="1" applyFont="1" applyBorder="1" applyAlignment="1">
      <alignment horizontal="center" vertical="center"/>
    </xf>
    <xf numFmtId="164" fontId="12" fillId="2" borderId="4" xfId="0" applyNumberFormat="1" applyFont="1" applyFill="1" applyBorder="1" applyAlignment="1">
      <alignment horizontal="center" vertical="center"/>
    </xf>
    <xf numFmtId="164" fontId="12" fillId="0" borderId="15" xfId="0" applyNumberFormat="1" applyFont="1" applyBorder="1" applyAlignment="1">
      <alignment horizontal="center" vertical="center"/>
    </xf>
    <xf numFmtId="1" fontId="12" fillId="2" borderId="9" xfId="2" applyNumberFormat="1" applyFont="1" applyFill="1" applyBorder="1" applyAlignment="1">
      <alignment horizontal="center" vertical="center"/>
    </xf>
    <xf numFmtId="2" fontId="12" fillId="2" borderId="9" xfId="1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9" xfId="1" applyNumberFormat="1" applyFont="1" applyFill="1" applyBorder="1" applyAlignment="1">
      <alignment horizontal="center" vertical="center"/>
    </xf>
    <xf numFmtId="0" fontId="12" fillId="0" borderId="13" xfId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165" fontId="12" fillId="0" borderId="9" xfId="1" applyNumberFormat="1" applyFont="1" applyFill="1" applyBorder="1" applyAlignment="1">
      <alignment horizontal="center" vertical="center"/>
    </xf>
    <xf numFmtId="165" fontId="12" fillId="2" borderId="9" xfId="1" applyNumberFormat="1" applyFont="1" applyFill="1" applyBorder="1" applyAlignment="1">
      <alignment horizontal="center" vertical="center"/>
    </xf>
    <xf numFmtId="165" fontId="12" fillId="0" borderId="13" xfId="1" applyNumberFormat="1" applyFont="1" applyFill="1" applyBorder="1" applyAlignment="1">
      <alignment horizontal="center" vertical="center"/>
    </xf>
    <xf numFmtId="2" fontId="22" fillId="0" borderId="4" xfId="0" applyNumberFormat="1" applyFont="1" applyBorder="1" applyAlignment="1">
      <alignment horizontal="center"/>
    </xf>
    <xf numFmtId="2" fontId="22" fillId="2" borderId="4" xfId="0" applyNumberFormat="1" applyFont="1" applyFill="1" applyBorder="1" applyAlignment="1">
      <alignment horizontal="center"/>
    </xf>
    <xf numFmtId="2" fontId="22" fillId="0" borderId="12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2" borderId="9" xfId="0" applyNumberFormat="1" applyFont="1" applyFill="1" applyBorder="1" applyAlignment="1">
      <alignment horizontal="center"/>
    </xf>
    <xf numFmtId="2" fontId="22" fillId="0" borderId="13" xfId="0" applyNumberFormat="1" applyFont="1" applyBorder="1" applyAlignment="1">
      <alignment horizontal="center"/>
    </xf>
    <xf numFmtId="165" fontId="22" fillId="0" borderId="9" xfId="1" applyNumberFormat="1" applyFont="1" applyFill="1" applyBorder="1" applyAlignment="1">
      <alignment horizontal="center"/>
    </xf>
    <xf numFmtId="165" fontId="22" fillId="2" borderId="9" xfId="1" applyNumberFormat="1" applyFont="1" applyFill="1" applyBorder="1" applyAlignment="1">
      <alignment horizontal="center"/>
    </xf>
    <xf numFmtId="165" fontId="22" fillId="0" borderId="13" xfId="1" applyNumberFormat="1" applyFont="1" applyFill="1" applyBorder="1" applyAlignment="1">
      <alignment horizontal="center"/>
    </xf>
    <xf numFmtId="2" fontId="22" fillId="0" borderId="9" xfId="0" applyNumberFormat="1" applyFont="1" applyBorder="1" applyAlignment="1">
      <alignment horizontal="center" vertical="center"/>
    </xf>
    <xf numFmtId="2" fontId="22" fillId="2" borderId="9" xfId="0" applyNumberFormat="1" applyFont="1" applyFill="1" applyBorder="1" applyAlignment="1">
      <alignment horizontal="center" vertical="center"/>
    </xf>
    <xf numFmtId="2" fontId="22" fillId="0" borderId="13" xfId="0" applyNumberFormat="1" applyFont="1" applyBorder="1" applyAlignment="1">
      <alignment horizontal="center" vertical="center"/>
    </xf>
    <xf numFmtId="0" fontId="22" fillId="0" borderId="9" xfId="0" applyFont="1" applyBorder="1" applyAlignment="1">
      <alignment horizontal="center"/>
    </xf>
    <xf numFmtId="0" fontId="22" fillId="2" borderId="9" xfId="0" applyFont="1" applyFill="1" applyBorder="1" applyAlignment="1">
      <alignment horizontal="center"/>
    </xf>
    <xf numFmtId="0" fontId="22" fillId="0" borderId="13" xfId="0" applyFont="1" applyBorder="1" applyAlignment="1">
      <alignment horizontal="center"/>
    </xf>
    <xf numFmtId="1" fontId="22" fillId="0" borderId="9" xfId="0" applyNumberFormat="1" applyFont="1" applyBorder="1" applyAlignment="1">
      <alignment horizontal="center"/>
    </xf>
    <xf numFmtId="1" fontId="22" fillId="2" borderId="9" xfId="0" applyNumberFormat="1" applyFont="1" applyFill="1" applyBorder="1" applyAlignment="1">
      <alignment horizontal="center"/>
    </xf>
    <xf numFmtId="1" fontId="22" fillId="0" borderId="13" xfId="0" applyNumberFormat="1" applyFont="1" applyBorder="1" applyAlignment="1">
      <alignment horizontal="center"/>
    </xf>
    <xf numFmtId="2" fontId="22" fillId="0" borderId="4" xfId="0" applyNumberFormat="1" applyFont="1" applyBorder="1" applyAlignment="1">
      <alignment horizontal="center" vertical="center"/>
    </xf>
    <xf numFmtId="2" fontId="22" fillId="2" borderId="4" xfId="0" applyNumberFormat="1" applyFont="1" applyFill="1" applyBorder="1" applyAlignment="1">
      <alignment horizontal="center" vertical="center"/>
    </xf>
    <xf numFmtId="2" fontId="22" fillId="0" borderId="15" xfId="0" applyNumberFormat="1" applyFont="1" applyBorder="1" applyAlignment="1">
      <alignment horizontal="center" vertical="center"/>
    </xf>
    <xf numFmtId="164" fontId="22" fillId="0" borderId="9" xfId="0" applyNumberFormat="1" applyFont="1" applyBorder="1" applyAlignment="1">
      <alignment horizontal="center" vertical="center"/>
    </xf>
    <xf numFmtId="164" fontId="22" fillId="2" borderId="9" xfId="0" applyNumberFormat="1" applyFont="1" applyFill="1" applyBorder="1" applyAlignment="1">
      <alignment horizontal="center" vertical="center"/>
    </xf>
    <xf numFmtId="164" fontId="22" fillId="0" borderId="13" xfId="0" applyNumberFormat="1" applyFont="1" applyBorder="1" applyAlignment="1">
      <alignment horizontal="center" vertical="center"/>
    </xf>
    <xf numFmtId="1" fontId="22" fillId="0" borderId="9" xfId="0" applyNumberFormat="1" applyFont="1" applyBorder="1" applyAlignment="1">
      <alignment horizontal="center" vertical="center"/>
    </xf>
    <xf numFmtId="1" fontId="22" fillId="2" borderId="9" xfId="0" applyNumberFormat="1" applyFont="1" applyFill="1" applyBorder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164" fontId="22" fillId="0" borderId="4" xfId="0" applyNumberFormat="1" applyFont="1" applyBorder="1" applyAlignment="1">
      <alignment horizontal="center" vertical="center"/>
    </xf>
    <xf numFmtId="164" fontId="22" fillId="2" borderId="4" xfId="0" applyNumberFormat="1" applyFont="1" applyFill="1" applyBorder="1" applyAlignment="1">
      <alignment horizontal="center" vertical="center"/>
    </xf>
    <xf numFmtId="164" fontId="22" fillId="0" borderId="15" xfId="0" applyNumberFormat="1" applyFont="1" applyBorder="1" applyAlignment="1">
      <alignment horizontal="center" vertical="center"/>
    </xf>
    <xf numFmtId="1" fontId="22" fillId="0" borderId="9" xfId="2" applyNumberFormat="1" applyFont="1" applyFill="1" applyBorder="1" applyAlignment="1">
      <alignment horizontal="center" vertical="center"/>
    </xf>
    <xf numFmtId="1" fontId="22" fillId="2" borderId="9" xfId="2" applyNumberFormat="1" applyFont="1" applyFill="1" applyBorder="1" applyAlignment="1">
      <alignment horizontal="center" vertical="center"/>
    </xf>
    <xf numFmtId="1" fontId="22" fillId="0" borderId="13" xfId="2" applyNumberFormat="1" applyFont="1" applyFill="1" applyBorder="1" applyAlignment="1">
      <alignment horizontal="center" vertical="center"/>
    </xf>
    <xf numFmtId="2" fontId="22" fillId="0" borderId="9" xfId="1" applyNumberFormat="1" applyFont="1" applyFill="1" applyBorder="1" applyAlignment="1">
      <alignment horizontal="center" vertical="center"/>
    </xf>
    <xf numFmtId="2" fontId="22" fillId="2" borderId="9" xfId="1" applyNumberFormat="1" applyFont="1" applyFill="1" applyBorder="1" applyAlignment="1">
      <alignment horizontal="center" vertical="center"/>
    </xf>
    <xf numFmtId="2" fontId="22" fillId="0" borderId="13" xfId="1" applyNumberFormat="1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167" fontId="22" fillId="0" borderId="9" xfId="0" applyNumberFormat="1" applyFont="1" applyBorder="1" applyAlignment="1">
      <alignment horizontal="center" vertical="center"/>
    </xf>
    <xf numFmtId="167" fontId="22" fillId="2" borderId="9" xfId="0" applyNumberFormat="1" applyFont="1" applyFill="1" applyBorder="1" applyAlignment="1">
      <alignment horizontal="center" vertical="center"/>
    </xf>
    <xf numFmtId="167" fontId="22" fillId="0" borderId="13" xfId="0" applyNumberFormat="1" applyFont="1" applyBorder="1" applyAlignment="1">
      <alignment horizontal="center" vertical="center"/>
    </xf>
    <xf numFmtId="0" fontId="22" fillId="0" borderId="9" xfId="1" applyNumberFormat="1" applyFont="1" applyFill="1" applyBorder="1" applyAlignment="1">
      <alignment horizontal="center" vertical="center"/>
    </xf>
    <xf numFmtId="0" fontId="22" fillId="2" borderId="9" xfId="1" applyNumberFormat="1" applyFont="1" applyFill="1" applyBorder="1" applyAlignment="1">
      <alignment horizontal="center" vertical="center"/>
    </xf>
    <xf numFmtId="0" fontId="22" fillId="0" borderId="13" xfId="1" applyNumberFormat="1" applyFont="1" applyFill="1" applyBorder="1" applyAlignment="1">
      <alignment horizontal="center" vertical="center"/>
    </xf>
    <xf numFmtId="164" fontId="22" fillId="0" borderId="9" xfId="1" applyNumberFormat="1" applyFont="1" applyFill="1" applyBorder="1" applyAlignment="1">
      <alignment horizontal="center" vertical="center"/>
    </xf>
    <xf numFmtId="164" fontId="22" fillId="2" borderId="9" xfId="1" applyNumberFormat="1" applyFont="1" applyFill="1" applyBorder="1" applyAlignment="1">
      <alignment horizontal="center" vertical="center"/>
    </xf>
    <xf numFmtId="164" fontId="22" fillId="0" borderId="13" xfId="1" applyNumberFormat="1" applyFont="1" applyFill="1" applyBorder="1" applyAlignment="1">
      <alignment horizontal="center" vertical="center"/>
    </xf>
    <xf numFmtId="164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2" borderId="8" xfId="0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2" fontId="22" fillId="4" borderId="9" xfId="0" applyNumberFormat="1" applyFont="1" applyFill="1" applyBorder="1" applyAlignment="1">
      <alignment horizontal="center" vertical="center"/>
    </xf>
    <xf numFmtId="0" fontId="23" fillId="5" borderId="21" xfId="0" applyFont="1" applyFill="1" applyBorder="1" applyAlignment="1">
      <alignment horizontal="center" vertical="center"/>
    </xf>
    <xf numFmtId="0" fontId="24" fillId="0" borderId="22" xfId="0" applyFont="1" applyBorder="1"/>
    <xf numFmtId="0" fontId="14" fillId="2" borderId="22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0" fillId="0" borderId="0" xfId="0" applyFont="1"/>
    <xf numFmtId="0" fontId="25" fillId="0" borderId="0" xfId="0" applyFont="1"/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</cellXfs>
  <cellStyles count="3">
    <cellStyle name="Comma 2" xfId="2" xr:uid="{DFB8EA3E-8D23-41D9-AFF0-D8C3B0063785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45527982820734"/>
          <c:y val="5.7834014201390394E-2"/>
          <c:w val="0.81439357962589787"/>
          <c:h val="0.68479459140970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'3.1 - Paper Figures - HOPP'!$B$7</c:f>
              <c:strCache>
                <c:ptCount val="1"/>
                <c:pt idx="0">
                  <c:v>MoSES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'3.1 - Paper Figures - HOPP'!$A$8:$A$14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'3.1 - Paper Figures - HOPP'!$B$8:$B$14</c:f>
              <c:numCache>
                <c:formatCode>General</c:formatCode>
                <c:ptCount val="7"/>
                <c:pt idx="0">
                  <c:v>0.9315178531414503</c:v>
                </c:pt>
                <c:pt idx="1">
                  <c:v>0.93151785200222825</c:v>
                </c:pt>
                <c:pt idx="2">
                  <c:v>3.0058789015643184</c:v>
                </c:pt>
                <c:pt idx="3">
                  <c:v>-0.87665208906723135</c:v>
                </c:pt>
                <c:pt idx="4">
                  <c:v>4.6670110187174707E-2</c:v>
                </c:pt>
                <c:pt idx="5">
                  <c:v>4.6830431265565409E-2</c:v>
                </c:pt>
                <c:pt idx="6">
                  <c:v>0.99990320254474963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9-47B8-BA57-5C1DFCAF88CC}"/>
            </c:ext>
          </c:extLst>
        </c:ser>
        <c:ser>
          <c:idx val="1"/>
          <c:order val="1"/>
          <c:tx>
            <c:strRef>
              <c:f>'3.1 - Paper Figures - HOPP'!$C$7</c:f>
              <c:strCache>
                <c:ptCount val="1"/>
                <c:pt idx="0">
                  <c:v>YACOP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'3.1 - Paper Figures - HOPP'!$A$8:$A$14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'3.1 - Paper Figures - HOPP'!$C$8:$C$14</c:f>
              <c:numCache>
                <c:formatCode>General</c:formatCode>
                <c:ptCount val="7"/>
                <c:pt idx="0">
                  <c:v>-8.2715811269611468</c:v>
                </c:pt>
                <c:pt idx="1">
                  <c:v>-8.3350727121277117</c:v>
                </c:pt>
                <c:pt idx="2">
                  <c:v>-26.633854630792953</c:v>
                </c:pt>
                <c:pt idx="3">
                  <c:v>9.0618900897194266</c:v>
                </c:pt>
                <c:pt idx="4">
                  <c:v>9.3460857831795252E-3</c:v>
                </c:pt>
                <c:pt idx="5">
                  <c:v>0.17689131082634368</c:v>
                </c:pt>
                <c:pt idx="6">
                  <c:v>-8.5516069836862769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9-47B8-BA57-5C1DFCAF88CC}"/>
            </c:ext>
          </c:extLst>
        </c:ser>
        <c:ser>
          <c:idx val="2"/>
          <c:order val="2"/>
          <c:tx>
            <c:strRef>
              <c:f>'3.1 - Paper Figures - HOPP'!$D$7</c:f>
              <c:strCache>
                <c:ptCount val="1"/>
                <c:pt idx="0">
                  <c:v>AESOPT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'3.1 - Paper Figures - HOPP'!$A$8:$A$14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'3.1 - Paper Figures - HOPP'!$D$8:$D$14</c:f>
              <c:numCache>
                <c:formatCode>General</c:formatCode>
                <c:ptCount val="7"/>
                <c:pt idx="0">
                  <c:v>-1.3278923834268541</c:v>
                </c:pt>
                <c:pt idx="1">
                  <c:v>-1.3281482917672505</c:v>
                </c:pt>
                <c:pt idx="2">
                  <c:v>-3.6349842061689785</c:v>
                </c:pt>
                <c:pt idx="3">
                  <c:v>1.1449448563900955</c:v>
                </c:pt>
                <c:pt idx="4">
                  <c:v>-0.24382347340310417</c:v>
                </c:pt>
                <c:pt idx="5">
                  <c:v>-5.1981830728742295E-6</c:v>
                </c:pt>
                <c:pt idx="6">
                  <c:v>-1.3051937874920094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9-47B8-BA57-5C1DFCAF8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96217743"/>
        <c:axId val="214095135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'3.1 - Paper Figures - HOPP'!$E$7</c15:sqref>
                        </c15:formulaRef>
                      </c:ext>
                    </c:extLst>
                    <c:strCache>
                      <c:ptCount val="1"/>
                      <c:pt idx="0">
                        <c:v>HOPP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'3.1 - Paper Figures - HOPP'!$A$8:$A$14</c15:sqref>
                        </c15:formulaRef>
                      </c:ext>
                    </c:extLst>
                    <c:strCache>
                      <c:ptCount val="7"/>
                      <c:pt idx="0">
                        <c:v>AEY</c:v>
                      </c:pt>
                      <c:pt idx="1">
                        <c:v>HCF</c:v>
                      </c:pt>
                      <c:pt idx="2">
                        <c:v>NPV</c:v>
                      </c:pt>
                      <c:pt idx="3">
                        <c:v>LCOE</c:v>
                      </c:pt>
                      <c:pt idx="4">
                        <c:v>CAPEX</c:v>
                      </c:pt>
                      <c:pt idx="5">
                        <c:v>OPEX</c:v>
                      </c:pt>
                      <c:pt idx="6">
                        <c:v>REV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'3.1 - Paper Figures - HOPP'!$E$8:$E$14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79-47B8-BA57-5C1DFCAF88CC}"/>
                  </c:ext>
                </c:extLst>
              </c15:ser>
            </c15:filteredBarSeries>
          </c:ext>
        </c:extLst>
      </c:barChart>
      <c:catAx>
        <c:axId val="296217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095135"/>
        <c:crossesAt val="0"/>
        <c:auto val="1"/>
        <c:lblAlgn val="ctr"/>
        <c:lblOffset val="100"/>
        <c:noMultiLvlLbl val="0"/>
      </c:catAx>
      <c:valAx>
        <c:axId val="214095135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b="0"/>
                  <a:t>Deviation from HOPP Value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621774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45527982820734"/>
          <c:y val="5.7834014201390394E-2"/>
          <c:w val="0.81439357962589787"/>
          <c:h val="0.68479459140970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'3.1 - Paper Figures - HOPP'!$B$7</c:f>
              <c:strCache>
                <c:ptCount val="1"/>
                <c:pt idx="0">
                  <c:v>MoSES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'3.1 - Paper Figures - HOPP'!$A$25:$A$31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'3.1 - Paper Figures - HOPP'!$B$25:$B$31</c:f>
              <c:numCache>
                <c:formatCode>General</c:formatCode>
                <c:ptCount val="7"/>
                <c:pt idx="0">
                  <c:v>-6.2806893079692117</c:v>
                </c:pt>
                <c:pt idx="1">
                  <c:v>-6.2806892762494959</c:v>
                </c:pt>
                <c:pt idx="2">
                  <c:v>4.9845872907968829</c:v>
                </c:pt>
                <c:pt idx="3">
                  <c:v>0.95662260441033986</c:v>
                </c:pt>
                <c:pt idx="4">
                  <c:v>-25.109524138654137</c:v>
                </c:pt>
                <c:pt idx="5">
                  <c:v>-1.4266619115595125</c:v>
                </c:pt>
                <c:pt idx="6">
                  <c:v>-5.5508593524322469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9-47B8-BA57-5C1DFCAF88CC}"/>
            </c:ext>
          </c:extLst>
        </c:ser>
        <c:ser>
          <c:idx val="1"/>
          <c:order val="1"/>
          <c:tx>
            <c:strRef>
              <c:f>'3.1 - Paper Figures - HOPP'!$C$7</c:f>
              <c:strCache>
                <c:ptCount val="1"/>
                <c:pt idx="0">
                  <c:v>YACOP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'3.1 - Paper Figures - HOPP'!$A$25:$A$31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'3.1 - Paper Figures - HOPP'!$C$25:$C$31</c:f>
              <c:numCache>
                <c:formatCode>General</c:formatCode>
                <c:ptCount val="7"/>
                <c:pt idx="0">
                  <c:v>-7.8199865934497348</c:v>
                </c:pt>
                <c:pt idx="1">
                  <c:v>-7.4813445859977623</c:v>
                </c:pt>
                <c:pt idx="2">
                  <c:v>-18.944474317285454</c:v>
                </c:pt>
                <c:pt idx="3">
                  <c:v>7.7997442706796427</c:v>
                </c:pt>
                <c:pt idx="4">
                  <c:v>-0.52932161502711184</c:v>
                </c:pt>
                <c:pt idx="5">
                  <c:v>-0.92482464358403238</c:v>
                </c:pt>
                <c:pt idx="6">
                  <c:v>-8.7866190478729003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9-47B8-BA57-5C1DFCAF88CC}"/>
            </c:ext>
          </c:extLst>
        </c:ser>
        <c:ser>
          <c:idx val="2"/>
          <c:order val="2"/>
          <c:tx>
            <c:strRef>
              <c:f>'3.1 - Paper Figures - HOPP'!$D$7</c:f>
              <c:strCache>
                <c:ptCount val="1"/>
                <c:pt idx="0">
                  <c:v>AESOPT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'3.1 - Paper Figures - HOPP'!$A$25:$A$31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'3.1 - Paper Figures - HOPP'!$D$25:$D$31</c:f>
              <c:numCache>
                <c:formatCode>General</c:formatCode>
                <c:ptCount val="7"/>
                <c:pt idx="0">
                  <c:v>-3.1058702710418662</c:v>
                </c:pt>
                <c:pt idx="1">
                  <c:v>-3.1061562528278519</c:v>
                </c:pt>
                <c:pt idx="2">
                  <c:v>-29.585899053504349</c:v>
                </c:pt>
                <c:pt idx="3">
                  <c:v>9.9672750776321095</c:v>
                </c:pt>
                <c:pt idx="4">
                  <c:v>-14.455492998737284</c:v>
                </c:pt>
                <c:pt idx="5">
                  <c:v>-9.9569259883147687E-2</c:v>
                </c:pt>
                <c:pt idx="6">
                  <c:v>-3.0382474888138611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9-47B8-BA57-5C1DFCAF8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96217743"/>
        <c:axId val="214095135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'3.1 - Paper Figures - HOPP'!$E$7</c15:sqref>
                        </c15:formulaRef>
                      </c:ext>
                    </c:extLst>
                    <c:strCache>
                      <c:ptCount val="1"/>
                      <c:pt idx="0">
                        <c:v>HOPP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'3.1 - Paper Figures - HOPP'!$A$25:$A$31</c15:sqref>
                        </c15:formulaRef>
                      </c:ext>
                    </c:extLst>
                    <c:strCache>
                      <c:ptCount val="7"/>
                      <c:pt idx="0">
                        <c:v>AEY</c:v>
                      </c:pt>
                      <c:pt idx="1">
                        <c:v>HCF</c:v>
                      </c:pt>
                      <c:pt idx="2">
                        <c:v>NPV</c:v>
                      </c:pt>
                      <c:pt idx="3">
                        <c:v>LCOE</c:v>
                      </c:pt>
                      <c:pt idx="4">
                        <c:v>CAPEX</c:v>
                      </c:pt>
                      <c:pt idx="5">
                        <c:v>OPEX</c:v>
                      </c:pt>
                      <c:pt idx="6">
                        <c:v>REV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'3.1 - Paper Figures - HOPP'!$E$25:$E$31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79-47B8-BA57-5C1DFCAF88CC}"/>
                  </c:ext>
                </c:extLst>
              </c15:ser>
            </c15:filteredBarSeries>
          </c:ext>
        </c:extLst>
      </c:barChart>
      <c:catAx>
        <c:axId val="296217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095135"/>
        <c:crossesAt val="0"/>
        <c:auto val="1"/>
        <c:lblAlgn val="ctr"/>
        <c:lblOffset val="100"/>
        <c:noMultiLvlLbl val="0"/>
      </c:catAx>
      <c:valAx>
        <c:axId val="214095135"/>
        <c:scaling>
          <c:orientation val="minMax"/>
          <c:min val="-3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b="0"/>
                  <a:t>Deviation from HOPP Value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621774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45527982820734"/>
          <c:y val="5.7834014201390394E-2"/>
          <c:w val="0.81439357962589787"/>
          <c:h val="0.68479459140970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'3.1 - Paper Figures - HOPP'!$B$7</c:f>
              <c:strCache>
                <c:ptCount val="1"/>
                <c:pt idx="0">
                  <c:v>MoSES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'3.1 - Paper Figures - HOPP'!$A$42:$A$48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'3.1 - Paper Figures - HOPP'!$B$42:$B$48</c:f>
              <c:numCache>
                <c:formatCode>General</c:formatCode>
                <c:ptCount val="7"/>
                <c:pt idx="0">
                  <c:v>3.6035370730142624</c:v>
                </c:pt>
                <c:pt idx="1">
                  <c:v>3.603537073014329</c:v>
                </c:pt>
                <c:pt idx="2">
                  <c:v>4.5982541014634943</c:v>
                </c:pt>
                <c:pt idx="3">
                  <c:v>-3.4414153125190361</c:v>
                </c:pt>
                <c:pt idx="4">
                  <c:v>0.39779371772186156</c:v>
                </c:pt>
                <c:pt idx="5">
                  <c:v>-3.0774817944556054</c:v>
                </c:pt>
                <c:pt idx="6">
                  <c:v>3.5974432744440898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9-47B8-BA57-5C1DFCAF88CC}"/>
            </c:ext>
          </c:extLst>
        </c:ser>
        <c:ser>
          <c:idx val="1"/>
          <c:order val="1"/>
          <c:tx>
            <c:strRef>
              <c:f>'3.1 - Paper Figures - HOPP'!$C$7</c:f>
              <c:strCache>
                <c:ptCount val="1"/>
                <c:pt idx="0">
                  <c:v>YACOP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'3.1 - Paper Figures - HOPP'!$A$42:$A$48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'3.1 - Paper Figures - HOPP'!$C$42:$C$48</c:f>
              <c:numCache>
                <c:formatCode>General</c:formatCode>
                <c:ptCount val="7"/>
                <c:pt idx="0">
                  <c:v>-2.6525966360648412</c:v>
                </c:pt>
                <c:pt idx="1">
                  <c:v>-2.503040090366726</c:v>
                </c:pt>
                <c:pt idx="2">
                  <c:v>-2.7006922015695434</c:v>
                </c:pt>
                <c:pt idx="3">
                  <c:v>1.8682557577709646</c:v>
                </c:pt>
                <c:pt idx="4">
                  <c:v>-0.9021993921032645</c:v>
                </c:pt>
                <c:pt idx="5">
                  <c:v>-0.2276374640814427</c:v>
                </c:pt>
                <c:pt idx="6">
                  <c:v>-3.5451665812518796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9-47B8-BA57-5C1DFCAF88CC}"/>
            </c:ext>
          </c:extLst>
        </c:ser>
        <c:ser>
          <c:idx val="2"/>
          <c:order val="2"/>
          <c:tx>
            <c:strRef>
              <c:f>'3.1 - Paper Figures - HOPP'!$D$7</c:f>
              <c:strCache>
                <c:ptCount val="1"/>
                <c:pt idx="0">
                  <c:v>AESOPT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'3.1 - Paper Figures - HOPP'!$A$42:$A$48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'3.1 - Paper Figures - HOPP'!$D$42:$D$48</c:f>
              <c:numCache>
                <c:formatCode>General</c:formatCode>
                <c:ptCount val="7"/>
                <c:pt idx="0">
                  <c:v>3.8924901927337885</c:v>
                </c:pt>
                <c:pt idx="1">
                  <c:v>3.8922188299279403</c:v>
                </c:pt>
                <c:pt idx="2">
                  <c:v>9.9133401323775026</c:v>
                </c:pt>
                <c:pt idx="3">
                  <c:v>-5.7287692980236171</c:v>
                </c:pt>
                <c:pt idx="4">
                  <c:v>-1.9085551032045234</c:v>
                </c:pt>
                <c:pt idx="5">
                  <c:v>-3.3671825612654471</c:v>
                </c:pt>
                <c:pt idx="6">
                  <c:v>3.9709262467104045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9-47B8-BA57-5C1DFCAF8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96217743"/>
        <c:axId val="214095135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'3.1 - Paper Figures - HOPP'!$E$7</c15:sqref>
                        </c15:formulaRef>
                      </c:ext>
                    </c:extLst>
                    <c:strCache>
                      <c:ptCount val="1"/>
                      <c:pt idx="0">
                        <c:v>HOPP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'3.1 - Paper Figures - HOPP'!$A$42:$A$48</c15:sqref>
                        </c15:formulaRef>
                      </c:ext>
                    </c:extLst>
                    <c:strCache>
                      <c:ptCount val="7"/>
                      <c:pt idx="0">
                        <c:v>AEY</c:v>
                      </c:pt>
                      <c:pt idx="1">
                        <c:v>HCF</c:v>
                      </c:pt>
                      <c:pt idx="2">
                        <c:v>NPV</c:v>
                      </c:pt>
                      <c:pt idx="3">
                        <c:v>LCOE</c:v>
                      </c:pt>
                      <c:pt idx="4">
                        <c:v>CAPEX</c:v>
                      </c:pt>
                      <c:pt idx="5">
                        <c:v>OPEX</c:v>
                      </c:pt>
                      <c:pt idx="6">
                        <c:v>REV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'3.1 - Paper Figures - HOPP'!$E$42:$E$48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79-47B8-BA57-5C1DFCAF88CC}"/>
                  </c:ext>
                </c:extLst>
              </c15:ser>
            </c15:filteredBarSeries>
          </c:ext>
        </c:extLst>
      </c:barChart>
      <c:catAx>
        <c:axId val="296217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095135"/>
        <c:crossesAt val="0"/>
        <c:auto val="1"/>
        <c:lblAlgn val="ctr"/>
        <c:lblOffset val="100"/>
        <c:noMultiLvlLbl val="0"/>
      </c:catAx>
      <c:valAx>
        <c:axId val="214095135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b="0"/>
                  <a:t>Deviation from HOPP Value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621774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45527982820734"/>
          <c:y val="5.7834014201390394E-2"/>
          <c:w val="0.81439357962589787"/>
          <c:h val="0.68479459140970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'3.1 - Paper Figures - HOPP'!$B$7</c:f>
              <c:strCache>
                <c:ptCount val="1"/>
                <c:pt idx="0">
                  <c:v>MoSES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'3.1 - Paper Figures - HOPP'!$A$59:$A$65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'3.1 - Paper Figures - HOPP'!$B$59:$B$65</c:f>
              <c:numCache>
                <c:formatCode>General</c:formatCode>
                <c:ptCount val="7"/>
                <c:pt idx="0">
                  <c:v>4.8037154872444976</c:v>
                </c:pt>
                <c:pt idx="1">
                  <c:v>4.8037715637779366</c:v>
                </c:pt>
                <c:pt idx="2">
                  <c:v>2.1417674674462095</c:v>
                </c:pt>
                <c:pt idx="3">
                  <c:v>-3.9473676125731494</c:v>
                </c:pt>
                <c:pt idx="4">
                  <c:v>0.82720163334148999</c:v>
                </c:pt>
                <c:pt idx="5">
                  <c:v>-0.9581100422893285</c:v>
                </c:pt>
                <c:pt idx="6">
                  <c:v>3.5929340509600616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9-47B8-BA57-5C1DFCAF88CC}"/>
            </c:ext>
          </c:extLst>
        </c:ser>
        <c:ser>
          <c:idx val="1"/>
          <c:order val="1"/>
          <c:tx>
            <c:strRef>
              <c:f>'3.1 - Paper Figures - HOPP'!$C$7</c:f>
              <c:strCache>
                <c:ptCount val="1"/>
                <c:pt idx="0">
                  <c:v>YACOP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'3.1 - Paper Figures - HOPP'!$A$59:$A$65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'3.1 - Paper Figures - HOPP'!$C$59:$C$65</c:f>
              <c:numCache>
                <c:formatCode>General</c:formatCode>
                <c:ptCount val="7"/>
                <c:pt idx="0">
                  <c:v>1.2101495500190795</c:v>
                </c:pt>
                <c:pt idx="1">
                  <c:v>1.1405934706337106</c:v>
                </c:pt>
                <c:pt idx="2">
                  <c:v>0.93919187096380696</c:v>
                </c:pt>
                <c:pt idx="3">
                  <c:v>-1.4346188060206266</c:v>
                </c:pt>
                <c:pt idx="4">
                  <c:v>-0.6147273956677024</c:v>
                </c:pt>
                <c:pt idx="5">
                  <c:v>3.5146542333571729</c:v>
                </c:pt>
                <c:pt idx="6">
                  <c:v>0.73606027643082772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9-47B8-BA57-5C1DFCAF88CC}"/>
            </c:ext>
          </c:extLst>
        </c:ser>
        <c:ser>
          <c:idx val="2"/>
          <c:order val="2"/>
          <c:tx>
            <c:strRef>
              <c:f>'3.1 - Paper Figures - HOPP'!$D$7</c:f>
              <c:strCache>
                <c:ptCount val="1"/>
                <c:pt idx="0">
                  <c:v>AESOPT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'3.1 - Paper Figures - HOPP'!$A$59:$A$65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'3.1 - Paper Figures - HOPP'!$D$59:$D$65</c:f>
              <c:numCache>
                <c:formatCode>General</c:formatCode>
                <c:ptCount val="7"/>
                <c:pt idx="0">
                  <c:v>3.6091758142170027</c:v>
                </c:pt>
                <c:pt idx="1">
                  <c:v>3.6089251851705084</c:v>
                </c:pt>
                <c:pt idx="2">
                  <c:v>4.1554188473663212</c:v>
                </c:pt>
                <c:pt idx="3">
                  <c:v>-4.30323017081008</c:v>
                </c:pt>
                <c:pt idx="4">
                  <c:v>-0.68096568886877318</c:v>
                </c:pt>
                <c:pt idx="5">
                  <c:v>-2.5544183937885045</c:v>
                </c:pt>
                <c:pt idx="6">
                  <c:v>3.7903301200395978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9-47B8-BA57-5C1DFCAF88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96217743"/>
        <c:axId val="214095135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'3.1 - Paper Figures - HOPP'!$E$7</c15:sqref>
                        </c15:formulaRef>
                      </c:ext>
                    </c:extLst>
                    <c:strCache>
                      <c:ptCount val="1"/>
                      <c:pt idx="0">
                        <c:v>HOPP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'3.1 - Paper Figures - HOPP'!$A$59:$A$65</c15:sqref>
                        </c15:formulaRef>
                      </c:ext>
                    </c:extLst>
                    <c:strCache>
                      <c:ptCount val="7"/>
                      <c:pt idx="0">
                        <c:v>AEY</c:v>
                      </c:pt>
                      <c:pt idx="1">
                        <c:v>HCF</c:v>
                      </c:pt>
                      <c:pt idx="2">
                        <c:v>NPV</c:v>
                      </c:pt>
                      <c:pt idx="3">
                        <c:v>LCOE</c:v>
                      </c:pt>
                      <c:pt idx="4">
                        <c:v>CAPEX</c:v>
                      </c:pt>
                      <c:pt idx="5">
                        <c:v>OPEX</c:v>
                      </c:pt>
                      <c:pt idx="6">
                        <c:v>REV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'3.1 - Paper Figures - HOPP'!$E$59:$E$65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79-47B8-BA57-5C1DFCAF88CC}"/>
                  </c:ext>
                </c:extLst>
              </c15:ser>
            </c15:filteredBarSeries>
          </c:ext>
        </c:extLst>
      </c:barChart>
      <c:catAx>
        <c:axId val="296217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095135"/>
        <c:crossesAt val="0"/>
        <c:auto val="1"/>
        <c:lblAlgn val="ctr"/>
        <c:lblOffset val="100"/>
        <c:noMultiLvlLbl val="0"/>
      </c:catAx>
      <c:valAx>
        <c:axId val="214095135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b="0"/>
                  <a:t>Deviation from HOPP Value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621774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345527982820734"/>
          <c:y val="5.7834014201390394E-2"/>
          <c:w val="0.81439357962589787"/>
          <c:h val="0.68479459140970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'3.2 - Paper Figures - AESOPT'!$B$8</c:f>
              <c:strCache>
                <c:ptCount val="1"/>
                <c:pt idx="0">
                  <c:v>MoSES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'3.2 - Paper Figures - AESOPT'!$A$9:$A$15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'3.2 - Paper Figures - AESOPT'!$B$9:$B$15</c:f>
              <c:numCache>
                <c:formatCode>General</c:formatCode>
                <c:ptCount val="7"/>
                <c:pt idx="0" formatCode="0.00">
                  <c:v>4.0703231919273275</c:v>
                </c:pt>
                <c:pt idx="1">
                  <c:v>4.0706685201643555</c:v>
                </c:pt>
                <c:pt idx="2">
                  <c:v>9.9477490976541461</c:v>
                </c:pt>
                <c:pt idx="3">
                  <c:v>-3.6563250495303845</c:v>
                </c:pt>
                <c:pt idx="4">
                  <c:v>0.3110715945503717</c:v>
                </c:pt>
                <c:pt idx="5">
                  <c:v>6.6666822478667065E-2</c:v>
                </c:pt>
                <c:pt idx="6">
                  <c:v>4.1974254297408642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81-E24D-9E40-16F7EEE0DFAE}"/>
            </c:ext>
          </c:extLst>
        </c:ser>
        <c:ser>
          <c:idx val="1"/>
          <c:order val="1"/>
          <c:tx>
            <c:strRef>
              <c:f>'3.2 - Paper Figures - AESOPT'!$C$8</c:f>
              <c:strCache>
                <c:ptCount val="1"/>
                <c:pt idx="0">
                  <c:v>YACOP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'3.2 - Paper Figures - AESOPT'!$A$9:$A$15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'3.2 - Paper Figures - AESOPT'!$C$9:$C$15</c:f>
              <c:numCache>
                <c:formatCode>General</c:formatCode>
                <c:ptCount val="7"/>
                <c:pt idx="0" formatCode="0.00">
                  <c:v>-4.8481022675671674</c:v>
                </c:pt>
                <c:pt idx="1">
                  <c:v>-4.913230185787687</c:v>
                </c:pt>
                <c:pt idx="2">
                  <c:v>-15.295942648824468</c:v>
                </c:pt>
                <c:pt idx="3">
                  <c:v>7.1534366307837161</c:v>
                </c:pt>
                <c:pt idx="4">
                  <c:v>1.9732160182619252</c:v>
                </c:pt>
                <c:pt idx="5">
                  <c:v>1.8950035484893712</c:v>
                </c:pt>
                <c:pt idx="6">
                  <c:v>-5.0487923772637995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81-E24D-9E40-16F7EEE0DFAE}"/>
            </c:ext>
          </c:extLst>
        </c:ser>
        <c:ser>
          <c:idx val="3"/>
          <c:order val="3"/>
          <c:tx>
            <c:strRef>
              <c:f>'3.2 - Paper Figures - AESOPT'!$E$8</c:f>
              <c:strCache>
                <c:ptCount val="1"/>
                <c:pt idx="0">
                  <c:v>HOPP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'3.2 - Paper Figures - AESOPT'!$A$9:$A$15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'3.2 - Paper Figures - AESOPT'!$E$9:$E$15</c:f>
              <c:numCache>
                <c:formatCode>General</c:formatCode>
                <c:ptCount val="7"/>
                <c:pt idx="0" formatCode="0.00">
                  <c:v>2.0075596589340217</c:v>
                </c:pt>
                <c:pt idx="1">
                  <c:v>2.007898156123944</c:v>
                </c:pt>
                <c:pt idx="2">
                  <c:v>4.7638469847426812</c:v>
                </c:pt>
                <c:pt idx="3">
                  <c:v>-1.7734508251535774</c:v>
                </c:pt>
                <c:pt idx="4">
                  <c:v>0.24441523707519064</c:v>
                </c:pt>
                <c:pt idx="5">
                  <c:v>-8.0039785910201999E-7</c:v>
                </c:pt>
                <c:pt idx="6">
                  <c:v>2.0525712287780218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81-E24D-9E40-16F7EEE0D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96217743"/>
        <c:axId val="214095135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'3.2 - Paper Figures - AESOPT'!$D$8</c15:sqref>
                        </c15:formulaRef>
                      </c:ext>
                    </c:extLst>
                    <c:strCache>
                      <c:ptCount val="1"/>
                      <c:pt idx="0">
                        <c:v>AESOPT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'3.2 - Paper Figures - AESOPT'!$A$9:$A$15</c15:sqref>
                        </c15:formulaRef>
                      </c:ext>
                    </c:extLst>
                    <c:strCache>
                      <c:ptCount val="7"/>
                      <c:pt idx="0">
                        <c:v>AEY</c:v>
                      </c:pt>
                      <c:pt idx="1">
                        <c:v>HCF</c:v>
                      </c:pt>
                      <c:pt idx="2">
                        <c:v>NPV</c:v>
                      </c:pt>
                      <c:pt idx="3">
                        <c:v>LCOE</c:v>
                      </c:pt>
                      <c:pt idx="4">
                        <c:v>CAPEX</c:v>
                      </c:pt>
                      <c:pt idx="5">
                        <c:v>OPEX</c:v>
                      </c:pt>
                      <c:pt idx="6">
                        <c:v>REV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'3.2 - Paper Figures - AESOPT'!$D$9:$D$15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 formatCode="0.0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CC81-E24D-9E40-16F7EEE0DFAE}"/>
                  </c:ext>
                </c:extLst>
              </c15:ser>
            </c15:filteredBarSeries>
          </c:ext>
        </c:extLst>
      </c:barChart>
      <c:catAx>
        <c:axId val="296217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095135"/>
        <c:crossesAt val="0"/>
        <c:auto val="1"/>
        <c:lblAlgn val="ctr"/>
        <c:lblOffset val="100"/>
        <c:noMultiLvlLbl val="0"/>
      </c:catAx>
      <c:valAx>
        <c:axId val="214095135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b="0"/>
                  <a:t>Deviation from AESOPT Value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621774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345527982820734"/>
          <c:y val="5.7834014201390394E-2"/>
          <c:w val="0.81439357962589787"/>
          <c:h val="0.68479459140970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'3.2 - Paper Figures - AESOPT'!$B$8</c:f>
              <c:strCache>
                <c:ptCount val="1"/>
                <c:pt idx="0">
                  <c:v>MoSES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'3.2 - Paper Figures - AESOPT'!$A$25:$A$31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'3.2 - Paper Figures - AESOPT'!$B$25:$B$31</c:f>
              <c:numCache>
                <c:formatCode>General</c:formatCode>
                <c:ptCount val="7"/>
                <c:pt idx="0" formatCode="0.00">
                  <c:v>-6.6836754963393137</c:v>
                </c:pt>
                <c:pt idx="1">
                  <c:v>-6.6833658522369888</c:v>
                </c:pt>
                <c:pt idx="2">
                  <c:v>-23.368171450037913</c:v>
                </c:pt>
                <c:pt idx="3">
                  <c:v>-5.2713304064034965</c:v>
                </c:pt>
                <c:pt idx="4">
                  <c:v>-12.766709056291281</c:v>
                </c:pt>
                <c:pt idx="5">
                  <c:v>-2.2240358959277895</c:v>
                </c:pt>
                <c:pt idx="6">
                  <c:v>-6.2821590227127855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6A-954A-B30E-63C5806DF28C}"/>
            </c:ext>
          </c:extLst>
        </c:ser>
        <c:ser>
          <c:idx val="1"/>
          <c:order val="1"/>
          <c:tx>
            <c:strRef>
              <c:f>'3.2 - Paper Figures - AESOPT'!$C$8</c:f>
              <c:strCache>
                <c:ptCount val="1"/>
                <c:pt idx="0">
                  <c:v>YACOP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'3.2 - Paper Figures - AESOPT'!$A$25:$A$31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'3.2 - Paper Figures - AESOPT'!$C$25:$C$31</c:f>
              <c:numCache>
                <c:formatCode>General</c:formatCode>
                <c:ptCount val="7"/>
                <c:pt idx="0" formatCode="0.00">
                  <c:v>-4.5429710039855635</c:v>
                </c:pt>
                <c:pt idx="1">
                  <c:v>-4.6083078613462947</c:v>
                </c:pt>
                <c:pt idx="2">
                  <c:v>-9.519226342637733</c:v>
                </c:pt>
                <c:pt idx="3">
                  <c:v>-2.2488874337627918</c:v>
                </c:pt>
                <c:pt idx="4">
                  <c:v>17.387971649923273</c:v>
                </c:pt>
                <c:pt idx="5">
                  <c:v>-0.17294185795810879</c:v>
                </c:pt>
                <c:pt idx="6">
                  <c:v>-5.410134551317924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6A-954A-B30E-63C5806DF28C}"/>
            </c:ext>
          </c:extLst>
        </c:ser>
        <c:ser>
          <c:idx val="3"/>
          <c:order val="3"/>
          <c:tx>
            <c:strRef>
              <c:f>'3.2 - Paper Figures - AESOPT'!$E$8</c:f>
              <c:strCache>
                <c:ptCount val="1"/>
                <c:pt idx="0">
                  <c:v>HOPP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'3.2 - Paper Figures - AESOPT'!$A$25:$A$31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'3.2 - Paper Figures - AESOPT'!$E$25:$E$31</c:f>
              <c:numCache>
                <c:formatCode>General</c:formatCode>
                <c:ptCount val="7"/>
                <c:pt idx="0" formatCode="0.00">
                  <c:v>3.1824211437798233</c:v>
                </c:pt>
                <c:pt idx="1">
                  <c:v>3.182763526123189</c:v>
                </c:pt>
                <c:pt idx="2">
                  <c:v>-27.715216336535875</c:v>
                </c:pt>
                <c:pt idx="3">
                  <c:v>-9.3430421779302719</c:v>
                </c:pt>
                <c:pt idx="4">
                  <c:v>17.68076462030994</c:v>
                </c:pt>
                <c:pt idx="5">
                  <c:v>0.15848749412115115</c:v>
                </c:pt>
                <c:pt idx="6">
                  <c:v>3.15587648602913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6A-954A-B30E-63C5806DF2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96217743"/>
        <c:axId val="214095135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'3.2 - Paper Figures - AESOPT'!$D$8</c15:sqref>
                        </c15:formulaRef>
                      </c:ext>
                    </c:extLst>
                    <c:strCache>
                      <c:ptCount val="1"/>
                      <c:pt idx="0">
                        <c:v>AESOPT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'3.2 - Paper Figures - AESOPT'!$A$25:$A$31</c15:sqref>
                        </c15:formulaRef>
                      </c:ext>
                    </c:extLst>
                    <c:strCache>
                      <c:ptCount val="7"/>
                      <c:pt idx="0">
                        <c:v>AEY</c:v>
                      </c:pt>
                      <c:pt idx="1">
                        <c:v>HCF</c:v>
                      </c:pt>
                      <c:pt idx="2">
                        <c:v>NPV</c:v>
                      </c:pt>
                      <c:pt idx="3">
                        <c:v>LCOE</c:v>
                      </c:pt>
                      <c:pt idx="4">
                        <c:v>CAPEX</c:v>
                      </c:pt>
                      <c:pt idx="5">
                        <c:v>OPEX</c:v>
                      </c:pt>
                      <c:pt idx="6">
                        <c:v>REV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'3.2 - Paper Figures - AESOPT'!$D$25:$D$31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 formatCode="0.0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F46A-954A-B30E-63C5806DF28C}"/>
                  </c:ext>
                </c:extLst>
              </c15:ser>
            </c15:filteredBarSeries>
          </c:ext>
        </c:extLst>
      </c:barChart>
      <c:catAx>
        <c:axId val="296217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095135"/>
        <c:crossesAt val="0"/>
        <c:auto val="1"/>
        <c:lblAlgn val="ctr"/>
        <c:lblOffset val="100"/>
        <c:noMultiLvlLbl val="0"/>
      </c:catAx>
      <c:valAx>
        <c:axId val="214095135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b="0"/>
                  <a:t>Deviation from AESOPT Value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621774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345527982820734"/>
          <c:y val="5.7834014201390394E-2"/>
          <c:w val="0.81439357962589787"/>
          <c:h val="0.68479459140970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'3.2 - Paper Figures - AESOPT'!$B$8</c:f>
              <c:strCache>
                <c:ptCount val="1"/>
                <c:pt idx="0">
                  <c:v>MoSES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'3.2 - Paper Figures - AESOPT'!$A$41:$A$47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'3.2 - Paper Figures - AESOPT'!$B$41:$B$47</c:f>
              <c:numCache>
                <c:formatCode>General</c:formatCode>
                <c:ptCount val="7"/>
                <c:pt idx="0">
                  <c:v>1.2946525119237551</c:v>
                </c:pt>
                <c:pt idx="1">
                  <c:v>1.2949886298753155</c:v>
                </c:pt>
                <c:pt idx="2">
                  <c:v>1.5270351393838588</c:v>
                </c:pt>
                <c:pt idx="3">
                  <c:v>0.32757223213666364</c:v>
                </c:pt>
                <c:pt idx="4">
                  <c:v>1.769096514786761</c:v>
                </c:pt>
                <c:pt idx="5">
                  <c:v>0.49541110546551526</c:v>
                </c:pt>
                <c:pt idx="6">
                  <c:v>1.6768507570356306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F-FA4D-BED9-E3B2C139ECAD}"/>
            </c:ext>
          </c:extLst>
        </c:ser>
        <c:ser>
          <c:idx val="1"/>
          <c:order val="1"/>
          <c:tx>
            <c:strRef>
              <c:f>'3.2 - Paper Figures - AESOPT'!$C$8</c:f>
              <c:strCache>
                <c:ptCount val="1"/>
                <c:pt idx="0">
                  <c:v>YACOP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'3.2 - Paper Figures - AESOPT'!$A$41:$A$47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'3.2 - Paper Figures - AESOPT'!$C$41:$C$47</c:f>
              <c:numCache>
                <c:formatCode>General</c:formatCode>
                <c:ptCount val="7"/>
                <c:pt idx="0">
                  <c:v>-7.9030467965023217</c:v>
                </c:pt>
                <c:pt idx="1">
                  <c:v>-7.9660837184551525</c:v>
                </c:pt>
                <c:pt idx="2">
                  <c:v>20.31002044346495</c:v>
                </c:pt>
                <c:pt idx="3">
                  <c:v>9.1730088081764638</c:v>
                </c:pt>
                <c:pt idx="4">
                  <c:v>0.47550112043657222</c:v>
                </c:pt>
                <c:pt idx="5">
                  <c:v>1.0962563316820217</c:v>
                </c:pt>
                <c:pt idx="6">
                  <c:v>-9.4705131519494667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9F-FA4D-BED9-E3B2C139ECAD}"/>
            </c:ext>
          </c:extLst>
        </c:ser>
        <c:ser>
          <c:idx val="3"/>
          <c:order val="3"/>
          <c:tx>
            <c:strRef>
              <c:f>'3.2 - Paper Figures - AESOPT'!$E$8</c:f>
              <c:strCache>
                <c:ptCount val="1"/>
                <c:pt idx="0">
                  <c:v>HOPP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'3.2 - Paper Figures - AESOPT'!$A$41:$A$47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'3.2 - Paper Figures - AESOPT'!$E$41:$E$47</c:f>
              <c:numCache>
                <c:formatCode>General</c:formatCode>
                <c:ptCount val="7"/>
                <c:pt idx="0">
                  <c:v>-5.4530502775281491</c:v>
                </c:pt>
                <c:pt idx="1">
                  <c:v>-5.4527365696938617</c:v>
                </c:pt>
                <c:pt idx="2">
                  <c:v>14.068358460367648</c:v>
                </c:pt>
                <c:pt idx="3">
                  <c:v>7.1033709358942154</c:v>
                </c:pt>
                <c:pt idx="4">
                  <c:v>1.5167244538144331</c:v>
                </c:pt>
                <c:pt idx="5">
                  <c:v>-0.74874173060121008</c:v>
                </c:pt>
                <c:pt idx="6">
                  <c:v>-5.2258154303371995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9F-FA4D-BED9-E3B2C139E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96217743"/>
        <c:axId val="214095135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'3.2 - Paper Figures - AESOPT'!$D$8</c15:sqref>
                        </c15:formulaRef>
                      </c:ext>
                    </c:extLst>
                    <c:strCache>
                      <c:ptCount val="1"/>
                      <c:pt idx="0">
                        <c:v>AESOPT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'3.2 - Paper Figures - AESOPT'!$A$41:$A$47</c15:sqref>
                        </c15:formulaRef>
                      </c:ext>
                    </c:extLst>
                    <c:strCache>
                      <c:ptCount val="7"/>
                      <c:pt idx="0">
                        <c:v>AEY</c:v>
                      </c:pt>
                      <c:pt idx="1">
                        <c:v>HCF</c:v>
                      </c:pt>
                      <c:pt idx="2">
                        <c:v>NPV</c:v>
                      </c:pt>
                      <c:pt idx="3">
                        <c:v>LCOE</c:v>
                      </c:pt>
                      <c:pt idx="4">
                        <c:v>CAPEX</c:v>
                      </c:pt>
                      <c:pt idx="5">
                        <c:v>OPEX</c:v>
                      </c:pt>
                      <c:pt idx="6">
                        <c:v>REV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'3.2 - Paper Figures - AESOPT'!$D$41:$D$47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759F-FA4D-BED9-E3B2C139ECAD}"/>
                  </c:ext>
                </c:extLst>
              </c15:ser>
            </c15:filteredBarSeries>
          </c:ext>
        </c:extLst>
      </c:barChart>
      <c:catAx>
        <c:axId val="296217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095135"/>
        <c:crossesAt val="0"/>
        <c:auto val="1"/>
        <c:lblAlgn val="ctr"/>
        <c:lblOffset val="100"/>
        <c:noMultiLvlLbl val="0"/>
      </c:catAx>
      <c:valAx>
        <c:axId val="214095135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b="0"/>
                  <a:t>Deviation from AESOPT Value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621774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6345527982820734"/>
          <c:y val="5.7834014201390394E-2"/>
          <c:w val="0.81439357962589787"/>
          <c:h val="0.68479459140970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'3.2 - Paper Figures - AESOPT'!$B$8</c:f>
              <c:strCache>
                <c:ptCount val="1"/>
                <c:pt idx="0">
                  <c:v>MoSES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'3.2 - Paper Figures - AESOPT'!$A$57:$A$63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'3.2 - Paper Figures - AESOPT'!$B$57:$B$63</c:f>
              <c:numCache>
                <c:formatCode>General</c:formatCode>
                <c:ptCount val="7"/>
                <c:pt idx="0">
                  <c:v>-1.9242124837022923</c:v>
                </c:pt>
                <c:pt idx="1">
                  <c:v>1.2949886298753155</c:v>
                </c:pt>
                <c:pt idx="2">
                  <c:v>1.2472061344401153</c:v>
                </c:pt>
                <c:pt idx="3">
                  <c:v>1.2327237274252001</c:v>
                </c:pt>
                <c:pt idx="4">
                  <c:v>-17.365841905203826</c:v>
                </c:pt>
                <c:pt idx="5">
                  <c:v>1.9656503516598312</c:v>
                </c:pt>
                <c:pt idx="6">
                  <c:v>-2.3501337891053131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F-D248-822A-58BC2B8D5A1D}"/>
            </c:ext>
          </c:extLst>
        </c:ser>
        <c:ser>
          <c:idx val="1"/>
          <c:order val="1"/>
          <c:tx>
            <c:strRef>
              <c:f>'3.2 - Paper Figures - AESOPT'!$C$8</c:f>
              <c:strCache>
                <c:ptCount val="1"/>
                <c:pt idx="0">
                  <c:v>YACOP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'3.2 - Paper Figures - AESOPT'!$A$57:$A$63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'3.2 - Paper Figures - AESOPT'!$C$57:$C$63</c:f>
              <c:numCache>
                <c:formatCode>General</c:formatCode>
                <c:ptCount val="7"/>
                <c:pt idx="0">
                  <c:v>-5.513934178967772</c:v>
                </c:pt>
                <c:pt idx="1">
                  <c:v>-7.9660837184551525</c:v>
                </c:pt>
                <c:pt idx="2">
                  <c:v>7.5278686250503268</c:v>
                </c:pt>
                <c:pt idx="3">
                  <c:v>5.6892476170925299</c:v>
                </c:pt>
                <c:pt idx="4">
                  <c:v>1.4410498890964574</c:v>
                </c:pt>
                <c:pt idx="5">
                  <c:v>3.3065539828436519</c:v>
                </c:pt>
                <c:pt idx="6">
                  <c:v>-6.5252922722585431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1F-D248-822A-58BC2B8D5A1D}"/>
            </c:ext>
          </c:extLst>
        </c:ser>
        <c:ser>
          <c:idx val="3"/>
          <c:order val="3"/>
          <c:tx>
            <c:strRef>
              <c:f>'3.2 - Paper Figures - AESOPT'!$E$8</c:f>
              <c:strCache>
                <c:ptCount val="1"/>
                <c:pt idx="0">
                  <c:v>HOPP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'3.2 - Paper Figures - AESOPT'!$A$57:$A$63</c:f>
              <c:strCache>
                <c:ptCount val="7"/>
                <c:pt idx="0">
                  <c:v>AEY</c:v>
                </c:pt>
                <c:pt idx="1">
                  <c:v>HCF</c:v>
                </c:pt>
                <c:pt idx="2">
                  <c:v>NPV</c:v>
                </c:pt>
                <c:pt idx="3">
                  <c:v>LCOE</c:v>
                </c:pt>
                <c:pt idx="4">
                  <c:v>CAPEX</c:v>
                </c:pt>
                <c:pt idx="5">
                  <c:v>OPEX</c:v>
                </c:pt>
                <c:pt idx="6">
                  <c:v>REV</c:v>
                </c:pt>
              </c:strCache>
            </c:strRef>
          </c:cat>
          <c:val>
            <c:numRef>
              <c:f>'3.2 - Paper Figures - AESOPT'!$E$57:$E$63</c:f>
              <c:numCache>
                <c:formatCode>General</c:formatCode>
                <c:ptCount val="7"/>
                <c:pt idx="0">
                  <c:v>-3.2498286600257553</c:v>
                </c:pt>
                <c:pt idx="1">
                  <c:v>-5.4527365696938617</c:v>
                </c:pt>
                <c:pt idx="2">
                  <c:v>8.9773246181146469</c:v>
                </c:pt>
                <c:pt idx="3">
                  <c:v>5.5851638975514595</c:v>
                </c:pt>
                <c:pt idx="4">
                  <c:v>3.8245654078965297</c:v>
                </c:pt>
                <c:pt idx="5">
                  <c:v>5.3070766361114963</c:v>
                </c:pt>
                <c:pt idx="6">
                  <c:v>-3.5309573736457822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1F-D248-822A-58BC2B8D5A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296217743"/>
        <c:axId val="214095135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'3.2 - Paper Figures - AESOPT'!$D$8</c15:sqref>
                        </c15:formulaRef>
                      </c:ext>
                    </c:extLst>
                    <c:strCache>
                      <c:ptCount val="1"/>
                      <c:pt idx="0">
                        <c:v>AESOPT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'3.2 - Paper Figures - AESOPT'!$A$57:$A$63</c15:sqref>
                        </c15:formulaRef>
                      </c:ext>
                    </c:extLst>
                    <c:strCache>
                      <c:ptCount val="7"/>
                      <c:pt idx="0">
                        <c:v>AEY</c:v>
                      </c:pt>
                      <c:pt idx="1">
                        <c:v>HCF</c:v>
                      </c:pt>
                      <c:pt idx="2">
                        <c:v>NPV</c:v>
                      </c:pt>
                      <c:pt idx="3">
                        <c:v>LCOE</c:v>
                      </c:pt>
                      <c:pt idx="4">
                        <c:v>CAPEX</c:v>
                      </c:pt>
                      <c:pt idx="5">
                        <c:v>OPEX</c:v>
                      </c:pt>
                      <c:pt idx="6">
                        <c:v>REV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'3.2 - Paper Figures - AESOPT'!$D$57:$D$63</c15:sqref>
                        </c15:formulaRef>
                      </c:ext>
                    </c:extLst>
                    <c:numCache>
                      <c:formatCode>General</c:formatCode>
                      <c:ptCount val="7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41F-D248-822A-58BC2B8D5A1D}"/>
                  </c:ext>
                </c:extLst>
              </c15:ser>
            </c15:filteredBarSeries>
          </c:ext>
        </c:extLst>
      </c:barChart>
      <c:catAx>
        <c:axId val="296217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14095135"/>
        <c:crossesAt val="0"/>
        <c:auto val="1"/>
        <c:lblAlgn val="ctr"/>
        <c:lblOffset val="100"/>
        <c:noMultiLvlLbl val="0"/>
      </c:catAx>
      <c:valAx>
        <c:axId val="214095135"/>
        <c:scaling>
          <c:orientation val="minMax"/>
          <c:max val="30"/>
          <c:min val="-3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b="0"/>
                  <a:t>Deviation from AESOPT Value in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96217743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443750</xdr:colOff>
      <xdr:row>3</xdr:row>
      <xdr:rowOff>80682</xdr:rowOff>
    </xdr:from>
    <xdr:to>
      <xdr:col>13</xdr:col>
      <xdr:colOff>555811</xdr:colOff>
      <xdr:row>16</xdr:row>
      <xdr:rowOff>71718</xdr:rowOff>
    </xdr:to>
    <xdr:graphicFrame macro="">
      <xdr:nvGraphicFramePr>
        <xdr:cNvPr id="18" name="Diagramm 4">
          <a:extLst>
            <a:ext uri="{FF2B5EF4-FFF2-40B4-BE49-F238E27FC236}">
              <a16:creationId xmlns:a16="http://schemas.microsoft.com/office/drawing/2014/main" id="{A874DE2B-2F69-470A-9EC8-80E63C3874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363069</xdr:colOff>
      <xdr:row>20</xdr:row>
      <xdr:rowOff>161363</xdr:rowOff>
    </xdr:from>
    <xdr:to>
      <xdr:col>13</xdr:col>
      <xdr:colOff>475130</xdr:colOff>
      <xdr:row>33</xdr:row>
      <xdr:rowOff>152401</xdr:rowOff>
    </xdr:to>
    <xdr:graphicFrame macro="">
      <xdr:nvGraphicFramePr>
        <xdr:cNvPr id="10" name="Diagramm 4">
          <a:extLst>
            <a:ext uri="{FF2B5EF4-FFF2-40B4-BE49-F238E27FC236}">
              <a16:creationId xmlns:a16="http://schemas.microsoft.com/office/drawing/2014/main" id="{E248FE76-0412-4EBB-D0BA-70575DF566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389962</xdr:colOff>
      <xdr:row>38</xdr:row>
      <xdr:rowOff>89646</xdr:rowOff>
    </xdr:from>
    <xdr:to>
      <xdr:col>13</xdr:col>
      <xdr:colOff>502023</xdr:colOff>
      <xdr:row>51</xdr:row>
      <xdr:rowOff>80683</xdr:rowOff>
    </xdr:to>
    <xdr:graphicFrame macro="">
      <xdr:nvGraphicFramePr>
        <xdr:cNvPr id="11" name="Diagramm 4">
          <a:extLst>
            <a:ext uri="{FF2B5EF4-FFF2-40B4-BE49-F238E27FC236}">
              <a16:creationId xmlns:a16="http://schemas.microsoft.com/office/drawing/2014/main" id="{D6667E6F-8956-D861-5014-BFA99AE82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389962</xdr:colOff>
      <xdr:row>56</xdr:row>
      <xdr:rowOff>26893</xdr:rowOff>
    </xdr:from>
    <xdr:to>
      <xdr:col>13</xdr:col>
      <xdr:colOff>502023</xdr:colOff>
      <xdr:row>69</xdr:row>
      <xdr:rowOff>17930</xdr:rowOff>
    </xdr:to>
    <xdr:graphicFrame macro="">
      <xdr:nvGraphicFramePr>
        <xdr:cNvPr id="12" name="Diagramm 4">
          <a:extLst>
            <a:ext uri="{FF2B5EF4-FFF2-40B4-BE49-F238E27FC236}">
              <a16:creationId xmlns:a16="http://schemas.microsoft.com/office/drawing/2014/main" id="{1B480ED9-1451-8ABE-7403-6096D1A54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443750</xdr:colOff>
      <xdr:row>3</xdr:row>
      <xdr:rowOff>80682</xdr:rowOff>
    </xdr:from>
    <xdr:to>
      <xdr:col>13</xdr:col>
      <xdr:colOff>555811</xdr:colOff>
      <xdr:row>17</xdr:row>
      <xdr:rowOff>71718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0D9F1674-E40B-CE4F-B6F8-CFCDD0933C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363069</xdr:colOff>
      <xdr:row>20</xdr:row>
      <xdr:rowOff>161363</xdr:rowOff>
    </xdr:from>
    <xdr:to>
      <xdr:col>13</xdr:col>
      <xdr:colOff>475130</xdr:colOff>
      <xdr:row>33</xdr:row>
      <xdr:rowOff>152401</xdr:rowOff>
    </xdr:to>
    <xdr:graphicFrame macro="">
      <xdr:nvGraphicFramePr>
        <xdr:cNvPr id="3" name="Diagramm 4">
          <a:extLst>
            <a:ext uri="{FF2B5EF4-FFF2-40B4-BE49-F238E27FC236}">
              <a16:creationId xmlns:a16="http://schemas.microsoft.com/office/drawing/2014/main" id="{0491F193-B366-954D-8165-B1D5B5BA44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389962</xdr:colOff>
      <xdr:row>37</xdr:row>
      <xdr:rowOff>89646</xdr:rowOff>
    </xdr:from>
    <xdr:to>
      <xdr:col>13</xdr:col>
      <xdr:colOff>502023</xdr:colOff>
      <xdr:row>50</xdr:row>
      <xdr:rowOff>80683</xdr:rowOff>
    </xdr:to>
    <xdr:graphicFrame macro="">
      <xdr:nvGraphicFramePr>
        <xdr:cNvPr id="4" name="Diagramm 4">
          <a:extLst>
            <a:ext uri="{FF2B5EF4-FFF2-40B4-BE49-F238E27FC236}">
              <a16:creationId xmlns:a16="http://schemas.microsoft.com/office/drawing/2014/main" id="{86A529E5-855A-5E47-B4EF-9D5846BF68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389962</xdr:colOff>
      <xdr:row>54</xdr:row>
      <xdr:rowOff>26893</xdr:rowOff>
    </xdr:from>
    <xdr:to>
      <xdr:col>13</xdr:col>
      <xdr:colOff>502023</xdr:colOff>
      <xdr:row>67</xdr:row>
      <xdr:rowOff>17930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D8A70943-D419-0144-9348-1F3ADC1D42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eme NREL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1F1A9-7965-F747-823F-FD9E35E47B5A}">
  <dimension ref="A2:B15"/>
  <sheetViews>
    <sheetView tabSelected="1" workbookViewId="0">
      <selection activeCell="B16" sqref="B16"/>
    </sheetView>
  </sheetViews>
  <sheetFormatPr baseColWidth="10" defaultRowHeight="15" x14ac:dyDescent="0.2"/>
  <cols>
    <col min="1" max="1" width="21" bestFit="1" customWidth="1"/>
    <col min="2" max="2" width="63" customWidth="1"/>
  </cols>
  <sheetData>
    <row r="2" spans="1:2" ht="23" customHeight="1" x14ac:dyDescent="0.25">
      <c r="A2" s="234" t="s">
        <v>252</v>
      </c>
      <c r="B2" s="14" t="s">
        <v>255</v>
      </c>
    </row>
    <row r="3" spans="1:2" ht="81" x14ac:dyDescent="0.25">
      <c r="A3" s="234" t="s">
        <v>253</v>
      </c>
      <c r="B3" s="14" t="s">
        <v>274</v>
      </c>
    </row>
    <row r="5" spans="1:2" ht="19" x14ac:dyDescent="0.25">
      <c r="A5" s="235" t="s">
        <v>254</v>
      </c>
      <c r="B5" s="235" t="s">
        <v>253</v>
      </c>
    </row>
    <row r="6" spans="1:2" x14ac:dyDescent="0.2">
      <c r="A6" t="s">
        <v>256</v>
      </c>
      <c r="B6" t="s">
        <v>266</v>
      </c>
    </row>
    <row r="7" spans="1:2" x14ac:dyDescent="0.2">
      <c r="A7" t="s">
        <v>257</v>
      </c>
      <c r="B7" t="s">
        <v>267</v>
      </c>
    </row>
    <row r="8" spans="1:2" x14ac:dyDescent="0.2">
      <c r="A8" t="s">
        <v>258</v>
      </c>
      <c r="B8" t="s">
        <v>268</v>
      </c>
    </row>
    <row r="9" spans="1:2" x14ac:dyDescent="0.2">
      <c r="A9" t="s">
        <v>259</v>
      </c>
      <c r="B9" t="s">
        <v>269</v>
      </c>
    </row>
    <row r="10" spans="1:2" x14ac:dyDescent="0.2">
      <c r="A10" t="s">
        <v>260</v>
      </c>
      <c r="B10" t="s">
        <v>270</v>
      </c>
    </row>
    <row r="11" spans="1:2" x14ac:dyDescent="0.2">
      <c r="A11" t="s">
        <v>261</v>
      </c>
      <c r="B11" t="s">
        <v>271</v>
      </c>
    </row>
    <row r="12" spans="1:2" x14ac:dyDescent="0.2">
      <c r="A12" t="s">
        <v>262</v>
      </c>
      <c r="B12" t="s">
        <v>272</v>
      </c>
    </row>
    <row r="13" spans="1:2" x14ac:dyDescent="0.2">
      <c r="A13" t="s">
        <v>263</v>
      </c>
      <c r="B13" t="s">
        <v>273</v>
      </c>
    </row>
    <row r="14" spans="1:2" x14ac:dyDescent="0.2">
      <c r="A14" t="s">
        <v>265</v>
      </c>
      <c r="B14" t="s">
        <v>275</v>
      </c>
    </row>
    <row r="15" spans="1:2" x14ac:dyDescent="0.2">
      <c r="A15" t="s">
        <v>264</v>
      </c>
      <c r="B15" t="s">
        <v>276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2BDD0-C51E-401E-8EA1-81F74F2BD7DA}">
  <dimension ref="A2:N76"/>
  <sheetViews>
    <sheetView topLeftCell="A13" zoomScale="85" zoomScaleNormal="85" workbookViewId="0">
      <selection activeCell="F59" sqref="F59"/>
    </sheetView>
  </sheetViews>
  <sheetFormatPr baseColWidth="10" defaultColWidth="11.5" defaultRowHeight="15" x14ac:dyDescent="0.2"/>
  <cols>
    <col min="1" max="1" width="15.5" customWidth="1"/>
  </cols>
  <sheetData>
    <row r="2" spans="1:14" x14ac:dyDescent="0.2">
      <c r="F2" s="254" t="s">
        <v>241</v>
      </c>
      <c r="G2" s="254"/>
      <c r="H2" s="254"/>
      <c r="I2" s="254"/>
      <c r="J2" s="254"/>
      <c r="K2" s="254"/>
      <c r="L2" s="254"/>
      <c r="M2" s="254"/>
      <c r="N2" s="254"/>
    </row>
    <row r="3" spans="1:14" x14ac:dyDescent="0.2">
      <c r="F3" s="254"/>
      <c r="G3" s="254"/>
      <c r="H3" s="254"/>
      <c r="I3" s="254"/>
      <c r="J3" s="254"/>
      <c r="K3" s="254"/>
      <c r="L3" s="254"/>
      <c r="M3" s="254"/>
      <c r="N3" s="254"/>
    </row>
    <row r="7" spans="1:14" x14ac:dyDescent="0.2">
      <c r="A7" t="s">
        <v>233</v>
      </c>
      <c r="B7" s="64" t="s">
        <v>237</v>
      </c>
      <c r="C7" s="64" t="s">
        <v>238</v>
      </c>
      <c r="D7" s="64" t="s">
        <v>239</v>
      </c>
      <c r="E7" s="64" t="s">
        <v>240</v>
      </c>
    </row>
    <row r="8" spans="1:14" x14ac:dyDescent="0.2">
      <c r="A8" s="64" t="s">
        <v>6</v>
      </c>
      <c r="B8">
        <f>('1.1 - HOPP - 30%'!F4/'1.1 - HOPP - 30%'!$I4-1)*100</f>
        <v>0.9315178531414503</v>
      </c>
      <c r="C8">
        <f>('1.1 - HOPP - 30%'!G4/'1.1 - HOPP - 30%'!$I4-1)*100</f>
        <v>-8.2715811269611468</v>
      </c>
      <c r="D8">
        <f>('1.1 - HOPP - 30%'!H4/'1.1 - HOPP - 30%'!$I4-1)*100</f>
        <v>-1.3278923834268541</v>
      </c>
      <c r="E8">
        <f>('1.1 - HOPP - 30%'!I4/'1.1 - HOPP - 30%'!$I4-1)*100</f>
        <v>0</v>
      </c>
    </row>
    <row r="9" spans="1:14" x14ac:dyDescent="0.2">
      <c r="A9" s="64" t="s">
        <v>11</v>
      </c>
      <c r="B9">
        <f>('1.1 - HOPP - 30%'!F6/'1.1 - HOPP - 30%'!$I6-1)*100</f>
        <v>0.93151785200222825</v>
      </c>
      <c r="C9">
        <f>('1.1 - HOPP - 30%'!G6/'1.1 - HOPP - 30%'!$I6-1)*100</f>
        <v>-8.3350727121277117</v>
      </c>
      <c r="D9">
        <f>('1.1 - HOPP - 30%'!H6/'1.1 - HOPP - 30%'!$I6-1)*100</f>
        <v>-1.3281482917672505</v>
      </c>
      <c r="E9">
        <f>('1.1 - HOPP - 30%'!I6/'1.1 - HOPP - 30%'!$I6-1)*100</f>
        <v>0</v>
      </c>
    </row>
    <row r="10" spans="1:14" x14ac:dyDescent="0.2">
      <c r="A10" s="64" t="s">
        <v>14</v>
      </c>
      <c r="B10">
        <f>('1.1 - HOPP - 30%'!F7/'1.1 - HOPP - 30%'!$I7-1)*100</f>
        <v>3.0058789015643184</v>
      </c>
      <c r="C10">
        <f>('1.1 - HOPP - 30%'!G7/'1.1 - HOPP - 30%'!$I7-1)*100</f>
        <v>-26.633854630792953</v>
      </c>
      <c r="D10">
        <f>('1.1 - HOPP - 30%'!H7/'1.1 - HOPP - 30%'!$I7-1)*100</f>
        <v>-3.6349842061689785</v>
      </c>
      <c r="E10">
        <f>('1.1 - HOPP - 30%'!I7/'1.1 - HOPP - 30%'!$I7-1)*100</f>
        <v>0</v>
      </c>
    </row>
    <row r="11" spans="1:14" x14ac:dyDescent="0.2">
      <c r="A11" s="64" t="s">
        <v>20</v>
      </c>
      <c r="B11">
        <f>('1.1 - HOPP - 30%'!F9/'1.1 - HOPP - 30%'!$I9-1)*100</f>
        <v>-0.87665208906723135</v>
      </c>
      <c r="C11">
        <f>('1.1 - HOPP - 30%'!G9/'1.1 - HOPP - 30%'!$I9-1)*100</f>
        <v>9.0618900897194266</v>
      </c>
      <c r="D11">
        <f>('1.1 - HOPP - 30%'!H9/'1.1 - HOPP - 30%'!$I9-1)*100</f>
        <v>1.1449448563900955</v>
      </c>
      <c r="E11">
        <f>('1.1 - HOPP - 30%'!I9/'1.1 - HOPP - 30%'!$I9-1)*100</f>
        <v>0</v>
      </c>
    </row>
    <row r="12" spans="1:14" x14ac:dyDescent="0.2">
      <c r="A12" s="64" t="s">
        <v>21</v>
      </c>
      <c r="B12">
        <f>('1.1 - HOPP - 30%'!F10/'1.1 - HOPP - 30%'!$I10-1)*100</f>
        <v>4.6670110187174707E-2</v>
      </c>
      <c r="C12">
        <f>('1.1 - HOPP - 30%'!G10/'1.1 - HOPP - 30%'!$I10-1)*100</f>
        <v>9.3460857831795252E-3</v>
      </c>
      <c r="D12">
        <f>('1.1 - HOPP - 30%'!H10/'1.1 - HOPP - 30%'!$I10-1)*100</f>
        <v>-0.24382347340310417</v>
      </c>
      <c r="E12">
        <f>('1.1 - HOPP - 30%'!I10/'1.1 - HOPP - 30%'!$I10-1)*100</f>
        <v>0</v>
      </c>
    </row>
    <row r="13" spans="1:14" x14ac:dyDescent="0.2">
      <c r="A13" s="64" t="s">
        <v>23</v>
      </c>
      <c r="B13">
        <f>('1.1 - HOPP - 30%'!F11/'1.1 - HOPP - 30%'!$I11-1)*100</f>
        <v>4.6830431265565409E-2</v>
      </c>
      <c r="C13">
        <f>('1.1 - HOPP - 30%'!G11/'1.1 - HOPP - 30%'!$I11-1)*100</f>
        <v>0.17689131082634368</v>
      </c>
      <c r="D13">
        <f>('1.1 - HOPP - 30%'!H11/'1.1 - HOPP - 30%'!$I11-1)*100</f>
        <v>-5.1981830728742295E-6</v>
      </c>
      <c r="E13">
        <f>('1.1 - HOPP - 30%'!I11/'1.1 - HOPP - 30%'!$I11-1)*100</f>
        <v>0</v>
      </c>
    </row>
    <row r="14" spans="1:14" x14ac:dyDescent="0.2">
      <c r="A14" s="64" t="s">
        <v>232</v>
      </c>
      <c r="B14">
        <f>('1.1 - HOPP - 30%'!F12/'1.1 - HOPP - 30%'!$I12-1)*100</f>
        <v>0.99990320254474963</v>
      </c>
      <c r="C14">
        <f>('1.1 - HOPP - 30%'!G12/'1.1 - HOPP - 30%'!$I12-1)*100</f>
        <v>-8.5516069836862769</v>
      </c>
      <c r="D14">
        <f>('1.1 - HOPP - 30%'!H12/'1.1 - HOPP - 30%'!$I12-1)*100</f>
        <v>-1.3051937874920094</v>
      </c>
      <c r="E14">
        <f>('1.1 - HOPP - 30%'!I12/'1.1 - HOPP - 30%'!$I12-1)*100</f>
        <v>0</v>
      </c>
    </row>
    <row r="15" spans="1:14" x14ac:dyDescent="0.2">
      <c r="A15" s="64"/>
    </row>
    <row r="16" spans="1:14" x14ac:dyDescent="0.2">
      <c r="A16" s="64"/>
    </row>
    <row r="17" spans="1:14" x14ac:dyDescent="0.2">
      <c r="A17" s="64"/>
    </row>
    <row r="18" spans="1:14" x14ac:dyDescent="0.2">
      <c r="A18" s="64"/>
      <c r="F18" s="256" t="s">
        <v>243</v>
      </c>
      <c r="G18" s="256"/>
      <c r="H18" s="256"/>
      <c r="I18" s="256"/>
      <c r="J18" s="256"/>
      <c r="K18" s="256"/>
      <c r="L18" s="256"/>
      <c r="M18" s="256"/>
      <c r="N18" s="256"/>
    </row>
    <row r="19" spans="1:14" x14ac:dyDescent="0.2">
      <c r="A19" s="64"/>
      <c r="F19" s="256"/>
      <c r="G19" s="256"/>
      <c r="H19" s="256"/>
      <c r="I19" s="256"/>
      <c r="J19" s="256"/>
      <c r="K19" s="256"/>
      <c r="L19" s="256"/>
      <c r="M19" s="256"/>
      <c r="N19" s="256"/>
    </row>
    <row r="20" spans="1:14" x14ac:dyDescent="0.2">
      <c r="A20" s="64"/>
    </row>
    <row r="21" spans="1:14" x14ac:dyDescent="0.2">
      <c r="A21" s="64"/>
    </row>
    <row r="22" spans="1:14" x14ac:dyDescent="0.2">
      <c r="A22" s="64"/>
    </row>
    <row r="24" spans="1:14" x14ac:dyDescent="0.2">
      <c r="A24" t="s">
        <v>234</v>
      </c>
      <c r="B24" s="64" t="s">
        <v>237</v>
      </c>
      <c r="C24" s="64" t="s">
        <v>238</v>
      </c>
      <c r="D24" s="64" t="s">
        <v>239</v>
      </c>
      <c r="E24" s="64" t="s">
        <v>240</v>
      </c>
    </row>
    <row r="25" spans="1:14" x14ac:dyDescent="0.2">
      <c r="A25" s="64" t="s">
        <v>6</v>
      </c>
      <c r="B25">
        <f>('1.2 - HOPP - 50%'!F4/'1.2 - HOPP - 50%'!$I4-1)*100</f>
        <v>-6.2806893079692117</v>
      </c>
      <c r="C25">
        <f>('1.2 - HOPP - 50%'!G4/'1.2 - HOPP - 50%'!$I4-1)*100</f>
        <v>-7.8199865934497348</v>
      </c>
      <c r="D25">
        <f>('1.2 - HOPP - 50%'!H4/'1.2 - HOPP - 50%'!$I4-1)*100</f>
        <v>-3.1058702710418662</v>
      </c>
      <c r="E25">
        <f>('1.2 - HOPP - 50%'!I4/'1.2 - HOPP - 50%'!$I4-1)*100</f>
        <v>0</v>
      </c>
    </row>
    <row r="26" spans="1:14" x14ac:dyDescent="0.2">
      <c r="A26" s="64" t="s">
        <v>11</v>
      </c>
      <c r="B26">
        <f>('1.2 - HOPP - 50%'!F6/'1.2 - HOPP - 50%'!$I6-1)*100</f>
        <v>-6.2806892762494959</v>
      </c>
      <c r="C26">
        <f>('1.2 - HOPP - 50%'!G6/'1.2 - HOPP - 50%'!$I6-1)*100</f>
        <v>-7.4813445859977623</v>
      </c>
      <c r="D26">
        <f>('1.2 - HOPP - 50%'!H6/'1.2 - HOPP - 50%'!$I6-1)*100</f>
        <v>-3.1061562528278519</v>
      </c>
      <c r="E26">
        <f>('1.2 - HOPP - 50%'!I6/'1.2 - HOPP - 50%'!$I6-1)*100</f>
        <v>0</v>
      </c>
    </row>
    <row r="27" spans="1:14" x14ac:dyDescent="0.2">
      <c r="A27" s="65" t="s">
        <v>14</v>
      </c>
      <c r="B27">
        <f>-('1.2 - HOPP - 50%'!F7/'1.2 - HOPP - 50%'!$I7-1)*100</f>
        <v>4.9845872907968829</v>
      </c>
      <c r="C27">
        <f>-('1.2 - HOPP - 50%'!G7/'1.2 - HOPP - 50%'!$I7-1)*100</f>
        <v>-18.944474317285454</v>
      </c>
      <c r="D27">
        <f>-('1.2 - HOPP - 50%'!H7/'1.2 - HOPP - 50%'!$I7-1)*100</f>
        <v>-29.585899053504349</v>
      </c>
      <c r="E27">
        <f>-('1.2 - HOPP - 50%'!I7/'1.2 - HOPP - 50%'!$I7-1)*100</f>
        <v>0</v>
      </c>
    </row>
    <row r="28" spans="1:14" x14ac:dyDescent="0.2">
      <c r="A28" s="64" t="s">
        <v>20</v>
      </c>
      <c r="B28">
        <f>('1.2 - HOPP - 50%'!F9/'1.2 - HOPP - 50%'!$I9-1)*100</f>
        <v>0.95662260441033986</v>
      </c>
      <c r="C28">
        <f>('1.2 - HOPP - 50%'!G9/'1.2 - HOPP - 50%'!$I9-1)*100</f>
        <v>7.7997442706796427</v>
      </c>
      <c r="D28">
        <f>('1.2 - HOPP - 50%'!H9/'1.2 - HOPP - 50%'!$I9-1)*100</f>
        <v>9.9672750776321095</v>
      </c>
      <c r="E28">
        <f>('1.2 - HOPP - 50%'!I9/'1.2 - HOPP - 50%'!$I9-1)*100</f>
        <v>0</v>
      </c>
    </row>
    <row r="29" spans="1:14" x14ac:dyDescent="0.2">
      <c r="A29" s="64" t="s">
        <v>21</v>
      </c>
      <c r="B29">
        <f>('1.2 - HOPP - 50%'!F10/'1.2 - HOPP - 50%'!$I10-1)*100</f>
        <v>-25.109524138654137</v>
      </c>
      <c r="C29">
        <f>('1.2 - HOPP - 50%'!G10/'1.2 - HOPP - 50%'!$I10-1)*100</f>
        <v>-0.52932161502711184</v>
      </c>
      <c r="D29">
        <f>('1.2 - HOPP - 50%'!H10/'1.2 - HOPP - 50%'!$I10-1)*100</f>
        <v>-14.455492998737284</v>
      </c>
      <c r="E29">
        <f>('1.2 - HOPP - 50%'!I10/'1.2 - HOPP - 50%'!$I10-1)*100</f>
        <v>0</v>
      </c>
    </row>
    <row r="30" spans="1:14" x14ac:dyDescent="0.2">
      <c r="A30" s="64" t="s">
        <v>23</v>
      </c>
      <c r="B30">
        <f>('1.2 - HOPP - 50%'!F11/'1.2 - HOPP - 50%'!$I11-1)*100</f>
        <v>-1.4266619115595125</v>
      </c>
      <c r="C30">
        <f>('1.2 - HOPP - 50%'!G11/'1.2 - HOPP - 50%'!$I11-1)*100</f>
        <v>-0.92482464358403238</v>
      </c>
      <c r="D30">
        <f>('1.2 - HOPP - 50%'!H11/'1.2 - HOPP - 50%'!$I11-1)*100</f>
        <v>-9.9569259883147687E-2</v>
      </c>
      <c r="E30">
        <f>('1.2 - HOPP - 50%'!I11/'1.2 - HOPP - 50%'!$I11-1)*100</f>
        <v>0</v>
      </c>
    </row>
    <row r="31" spans="1:14" x14ac:dyDescent="0.2">
      <c r="A31" s="64" t="s">
        <v>232</v>
      </c>
      <c r="B31">
        <f>('1.2 - HOPP - 50%'!F12/'1.2 - HOPP - 50%'!$I12-1)*100</f>
        <v>-5.5508593524322469</v>
      </c>
      <c r="C31">
        <f>('1.2 - HOPP - 50%'!G12/'1.2 - HOPP - 50%'!$I12-1)*100</f>
        <v>-8.7866190478729003</v>
      </c>
      <c r="D31">
        <f>('1.2 - HOPP - 50%'!H12/'1.2 - HOPP - 50%'!$I12-1)*100</f>
        <v>-3.0382474888138611</v>
      </c>
      <c r="E31">
        <f>('1.2 - HOPP - 50%'!I12/'1.2 - HOPP - 50%'!$I12-1)*100</f>
        <v>0</v>
      </c>
    </row>
    <row r="32" spans="1:14" x14ac:dyDescent="0.2">
      <c r="A32" s="64"/>
    </row>
    <row r="33" spans="1:14" x14ac:dyDescent="0.2">
      <c r="A33" s="64"/>
      <c r="B33" s="18"/>
      <c r="C33" s="18"/>
    </row>
    <row r="34" spans="1:14" x14ac:dyDescent="0.2">
      <c r="A34" s="64"/>
      <c r="B34" s="63"/>
      <c r="C34" s="63"/>
      <c r="D34" s="63"/>
      <c r="E34" s="63"/>
    </row>
    <row r="35" spans="1:14" x14ac:dyDescent="0.2">
      <c r="A35" s="64"/>
    </row>
    <row r="36" spans="1:14" x14ac:dyDescent="0.2">
      <c r="A36" s="64"/>
      <c r="F36" s="256" t="s">
        <v>244</v>
      </c>
      <c r="G36" s="256"/>
      <c r="H36" s="256"/>
      <c r="I36" s="256"/>
      <c r="J36" s="256"/>
      <c r="K36" s="256"/>
      <c r="L36" s="256"/>
      <c r="M36" s="256"/>
      <c r="N36" s="256"/>
    </row>
    <row r="37" spans="1:14" x14ac:dyDescent="0.2">
      <c r="A37" s="64"/>
      <c r="F37" s="256"/>
      <c r="G37" s="256"/>
      <c r="H37" s="256"/>
      <c r="I37" s="256"/>
      <c r="J37" s="256"/>
      <c r="K37" s="256"/>
      <c r="L37" s="256"/>
      <c r="M37" s="256"/>
      <c r="N37" s="256"/>
    </row>
    <row r="38" spans="1:14" x14ac:dyDescent="0.2">
      <c r="A38" s="64"/>
    </row>
    <row r="41" spans="1:14" x14ac:dyDescent="0.2">
      <c r="A41" t="s">
        <v>235</v>
      </c>
      <c r="B41" s="64" t="s">
        <v>237</v>
      </c>
      <c r="C41" s="64" t="s">
        <v>238</v>
      </c>
      <c r="D41" s="64" t="s">
        <v>239</v>
      </c>
      <c r="E41" s="64" t="s">
        <v>240</v>
      </c>
    </row>
    <row r="42" spans="1:14" x14ac:dyDescent="0.2">
      <c r="A42" s="64" t="s">
        <v>6</v>
      </c>
      <c r="B42">
        <f>('1.3 - HOPP - 70%'!F4/'1.3 - HOPP - 70%'!$I4-1)*100</f>
        <v>3.6035370730142624</v>
      </c>
      <c r="C42">
        <f>('1.3 - HOPP - 70%'!G4/'1.3 - HOPP - 70%'!$I4-1)*100</f>
        <v>-2.6525966360648412</v>
      </c>
      <c r="D42">
        <f>('1.3 - HOPP - 70%'!H4/'1.3 - HOPP - 70%'!$I4-1)*100</f>
        <v>3.8924901927337885</v>
      </c>
      <c r="E42">
        <f>('1.3 - HOPP - 70%'!I4/'1.3 - HOPP - 70%'!$I4-1)*100</f>
        <v>0</v>
      </c>
    </row>
    <row r="43" spans="1:14" x14ac:dyDescent="0.2">
      <c r="A43" s="64" t="s">
        <v>11</v>
      </c>
      <c r="B43">
        <f>('1.3 - HOPP - 70%'!F6/'1.3 - HOPP - 70%'!$I6-1)*100</f>
        <v>3.603537073014329</v>
      </c>
      <c r="C43">
        <f>('1.3 - HOPP - 70%'!G6/'1.3 - HOPP - 70%'!$I6-1)*100</f>
        <v>-2.503040090366726</v>
      </c>
      <c r="D43">
        <f>('1.3 - HOPP - 70%'!H6/'1.3 - HOPP - 70%'!$I6-1)*100</f>
        <v>3.8922188299279403</v>
      </c>
      <c r="E43">
        <f>('1.3 - HOPP - 70%'!I6/'1.3 - HOPP - 70%'!$I6-1)*100</f>
        <v>0</v>
      </c>
    </row>
    <row r="44" spans="1:14" x14ac:dyDescent="0.2">
      <c r="A44" s="65" t="s">
        <v>14</v>
      </c>
      <c r="B44">
        <f>-('1.3 - HOPP - 70%'!F7/'1.3 - HOPP - 70%'!$I7-1)*100</f>
        <v>4.5982541014634943</v>
      </c>
      <c r="C44">
        <f>-('1.3 - HOPP - 70%'!G7/'1.3 - HOPP - 70%'!$I7-1)*100</f>
        <v>-2.7006922015695434</v>
      </c>
      <c r="D44">
        <f>-('1.3 - HOPP - 70%'!H7/'1.3 - HOPP - 70%'!$I7-1)*100</f>
        <v>9.9133401323775026</v>
      </c>
      <c r="E44">
        <f>-('1.3 - HOPP - 70%'!I7/'1.3 - HOPP - 70%'!$I7-1)*100</f>
        <v>0</v>
      </c>
    </row>
    <row r="45" spans="1:14" x14ac:dyDescent="0.2">
      <c r="A45" s="64" t="s">
        <v>20</v>
      </c>
      <c r="B45">
        <f>('1.3 - HOPP - 70%'!F9/'1.3 - HOPP - 70%'!$I9-1)*100</f>
        <v>-3.4414153125190361</v>
      </c>
      <c r="C45">
        <f>('1.3 - HOPP - 70%'!G9/'1.3 - HOPP - 70%'!$I9-1)*100</f>
        <v>1.8682557577709646</v>
      </c>
      <c r="D45">
        <f>('1.3 - HOPP - 70%'!H9/'1.3 - HOPP - 70%'!$I9-1)*100</f>
        <v>-5.7287692980236171</v>
      </c>
      <c r="E45">
        <f>('1.3 - HOPP - 70%'!I9/'1.3 - HOPP - 70%'!$I9-1)*100</f>
        <v>0</v>
      </c>
    </row>
    <row r="46" spans="1:14" x14ac:dyDescent="0.2">
      <c r="A46" s="64" t="s">
        <v>21</v>
      </c>
      <c r="B46">
        <f>('1.3 - HOPP - 70%'!F10/'1.3 - HOPP - 70%'!$I10-1)*100</f>
        <v>0.39779371772186156</v>
      </c>
      <c r="C46">
        <f>('1.3 - HOPP - 70%'!G10/'1.3 - HOPP - 70%'!$I10-1)*100</f>
        <v>-0.9021993921032645</v>
      </c>
      <c r="D46">
        <f>('1.3 - HOPP - 70%'!H10/'1.3 - HOPP - 70%'!$I10-1)*100</f>
        <v>-1.9085551032045234</v>
      </c>
      <c r="E46">
        <f>('1.3 - HOPP - 70%'!I10/'1.3 - HOPP - 70%'!$I10-1)*100</f>
        <v>0</v>
      </c>
    </row>
    <row r="47" spans="1:14" x14ac:dyDescent="0.2">
      <c r="A47" s="64" t="s">
        <v>23</v>
      </c>
      <c r="B47">
        <f>('1.3 - HOPP - 70%'!F11/'1.3 - HOPP - 70%'!$I11-1)*100</f>
        <v>-3.0774817944556054</v>
      </c>
      <c r="C47">
        <f>('1.3 - HOPP - 70%'!G11/'1.3 - HOPP - 70%'!$I11-1)*100</f>
        <v>-0.2276374640814427</v>
      </c>
      <c r="D47">
        <f>('1.3 - HOPP - 70%'!H11/'1.3 - HOPP - 70%'!$I11-1)*100</f>
        <v>-3.3671825612654471</v>
      </c>
      <c r="E47">
        <f>('1.3 - HOPP - 70%'!I11/'1.3 - HOPP - 70%'!$I11-1)*100</f>
        <v>0</v>
      </c>
    </row>
    <row r="48" spans="1:14" x14ac:dyDescent="0.2">
      <c r="A48" s="64" t="s">
        <v>232</v>
      </c>
      <c r="B48">
        <f>('1.3 - HOPP - 70%'!F12/'1.3 - HOPP - 70%'!$I12-1)*100</f>
        <v>3.5974432744440898</v>
      </c>
      <c r="C48">
        <f>('1.3 - HOPP - 70%'!G12/'1.3 - HOPP - 70%'!$I12-1)*100</f>
        <v>-3.5451665812518796</v>
      </c>
      <c r="D48">
        <f>('1.3 - HOPP - 70%'!H12/'1.3 - HOPP - 70%'!$I12-1)*100</f>
        <v>3.9709262467104045</v>
      </c>
      <c r="E48">
        <f>('1.3 - HOPP - 70%'!I12/'1.3 - HOPP - 70%'!$I12-1)*100</f>
        <v>0</v>
      </c>
    </row>
    <row r="49" spans="1:14" x14ac:dyDescent="0.2">
      <c r="A49" s="64"/>
    </row>
    <row r="50" spans="1:14" x14ac:dyDescent="0.2">
      <c r="A50" s="64"/>
      <c r="B50" s="18"/>
    </row>
    <row r="51" spans="1:14" x14ac:dyDescent="0.2">
      <c r="A51" s="64"/>
      <c r="B51" s="63"/>
      <c r="C51" s="63"/>
      <c r="D51" s="63"/>
      <c r="E51" s="63"/>
    </row>
    <row r="52" spans="1:14" x14ac:dyDescent="0.2">
      <c r="A52" s="64"/>
    </row>
    <row r="53" spans="1:14" x14ac:dyDescent="0.2">
      <c r="D53">
        <f>D51*E50+E50</f>
        <v>0</v>
      </c>
    </row>
    <row r="54" spans="1:14" x14ac:dyDescent="0.2">
      <c r="F54" s="256" t="s">
        <v>245</v>
      </c>
      <c r="G54" s="256"/>
      <c r="H54" s="256"/>
      <c r="I54" s="256"/>
      <c r="J54" s="256"/>
      <c r="K54" s="256"/>
      <c r="L54" s="256"/>
      <c r="M54" s="256"/>
      <c r="N54" s="256"/>
    </row>
    <row r="55" spans="1:14" x14ac:dyDescent="0.2">
      <c r="F55" s="256"/>
      <c r="G55" s="256"/>
      <c r="H55" s="256"/>
      <c r="I55" s="256"/>
      <c r="J55" s="256"/>
      <c r="K55" s="256"/>
      <c r="L55" s="256"/>
      <c r="M55" s="256"/>
      <c r="N55" s="256"/>
    </row>
    <row r="58" spans="1:14" x14ac:dyDescent="0.2">
      <c r="A58" t="s">
        <v>236</v>
      </c>
      <c r="B58" s="64" t="s">
        <v>237</v>
      </c>
      <c r="C58" s="64" t="s">
        <v>238</v>
      </c>
      <c r="D58" s="64" t="s">
        <v>239</v>
      </c>
      <c r="E58" s="64" t="s">
        <v>240</v>
      </c>
    </row>
    <row r="59" spans="1:14" x14ac:dyDescent="0.2">
      <c r="A59" s="64" t="s">
        <v>6</v>
      </c>
      <c r="B59">
        <f>('1.4 - HOPP - 90%'!F4/'1.4 - HOPP - 90%'!$I4-1)*100</f>
        <v>4.8037154872444976</v>
      </c>
      <c r="C59">
        <f>('1.4 - HOPP - 90%'!G4/'1.4 - HOPP - 90%'!$I4-1)*100</f>
        <v>1.2101495500190795</v>
      </c>
      <c r="D59">
        <f>('1.4 - HOPP - 90%'!H4/'1.4 - HOPP - 90%'!$I4-1)*100</f>
        <v>3.6091758142170027</v>
      </c>
      <c r="E59">
        <f>('1.4 - HOPP - 90%'!I4/'1.4 - HOPP - 90%'!$I4-1)*100</f>
        <v>0</v>
      </c>
    </row>
    <row r="60" spans="1:14" x14ac:dyDescent="0.2">
      <c r="A60" s="64" t="s">
        <v>11</v>
      </c>
      <c r="B60">
        <f>('1.4 - HOPP - 90%'!F6/'1.4 - HOPP - 90%'!$I6-1)*100</f>
        <v>4.8037715637779366</v>
      </c>
      <c r="C60">
        <f>('1.4 - HOPP - 90%'!G6/'1.4 - HOPP - 90%'!$I6-1)*100</f>
        <v>1.1405934706337106</v>
      </c>
      <c r="D60">
        <f>('1.4 - HOPP - 90%'!H6/'1.4 - HOPP - 90%'!$I6-1)*100</f>
        <v>3.6089251851705084</v>
      </c>
      <c r="E60">
        <f>('1.4 - HOPP - 90%'!I6/'1.4 - HOPP - 90%'!$I6-1)*100</f>
        <v>0</v>
      </c>
    </row>
    <row r="61" spans="1:14" x14ac:dyDescent="0.2">
      <c r="A61" s="65" t="s">
        <v>14</v>
      </c>
      <c r="B61">
        <f>-('1.4 - HOPP - 90%'!F7/'1.4 - HOPP - 90%'!$I7-1)*100</f>
        <v>2.1417674674462095</v>
      </c>
      <c r="C61">
        <f>-('1.4 - HOPP - 90%'!G7/'1.4 - HOPP - 90%'!$I7-1)*100</f>
        <v>0.93919187096380696</v>
      </c>
      <c r="D61">
        <f>-('1.4 - HOPP - 90%'!H7/'1.4 - HOPP - 90%'!$I7-1)*100</f>
        <v>4.1554188473663212</v>
      </c>
      <c r="E61">
        <f>-('1.4 - HOPP - 90%'!I7/'1.4 - HOPP - 90%'!$I7-1)*100</f>
        <v>0</v>
      </c>
    </row>
    <row r="62" spans="1:14" x14ac:dyDescent="0.2">
      <c r="A62" s="64" t="s">
        <v>20</v>
      </c>
      <c r="B62">
        <f>('1.4 - HOPP - 90%'!F9/'1.4 - HOPP - 90%'!$I9-1)*100</f>
        <v>-3.9473676125731494</v>
      </c>
      <c r="C62">
        <f>('1.4 - HOPP - 90%'!G9/'1.4 - HOPP - 90%'!$I9-1)*100</f>
        <v>-1.4346188060206266</v>
      </c>
      <c r="D62">
        <f>('1.4 - HOPP - 90%'!H9/'1.4 - HOPP - 90%'!$I9-1)*100</f>
        <v>-4.30323017081008</v>
      </c>
      <c r="E62">
        <f>('1.4 - HOPP - 90%'!I9/'1.4 - HOPP - 90%'!$I9-1)*100</f>
        <v>0</v>
      </c>
    </row>
    <row r="63" spans="1:14" x14ac:dyDescent="0.2">
      <c r="A63" s="64" t="s">
        <v>21</v>
      </c>
      <c r="B63">
        <f>('1.4 - HOPP - 90%'!F10/'1.4 - HOPP - 90%'!$I10-1)*100</f>
        <v>0.82720163334148999</v>
      </c>
      <c r="C63">
        <f>('1.4 - HOPP - 90%'!G10/'1.4 - HOPP - 90%'!$I10-1)*100</f>
        <v>-0.6147273956677024</v>
      </c>
      <c r="D63">
        <f>('1.4 - HOPP - 90%'!H10/'1.4 - HOPP - 90%'!$I10-1)*100</f>
        <v>-0.68096568886877318</v>
      </c>
      <c r="E63">
        <f>('1.4 - HOPP - 90%'!I10/'1.4 - HOPP - 90%'!$I10-1)*100</f>
        <v>0</v>
      </c>
    </row>
    <row r="64" spans="1:14" x14ac:dyDescent="0.2">
      <c r="A64" s="64" t="s">
        <v>23</v>
      </c>
      <c r="B64">
        <f>('1.4 - HOPP - 90%'!F11/'1.4 - HOPP - 90%'!$I11-1)*100</f>
        <v>-0.9581100422893285</v>
      </c>
      <c r="C64">
        <f>('1.4 - HOPP - 90%'!G11/'1.4 - HOPP - 90%'!$I11-1)*100</f>
        <v>3.5146542333571729</v>
      </c>
      <c r="D64">
        <f>('1.4 - HOPP - 90%'!H11/'1.4 - HOPP - 90%'!$I11-1)*100</f>
        <v>-2.5544183937885045</v>
      </c>
      <c r="E64">
        <f>('1.4 - HOPP - 90%'!I11/'1.4 - HOPP - 90%'!$I11-1)*100</f>
        <v>0</v>
      </c>
    </row>
    <row r="65" spans="1:14" x14ac:dyDescent="0.2">
      <c r="A65" s="64" t="s">
        <v>232</v>
      </c>
      <c r="B65">
        <f>('1.4 - HOPP - 90%'!F12/'1.4 - HOPP - 90%'!$I12-1)*100</f>
        <v>3.5929340509600616</v>
      </c>
      <c r="C65">
        <f>('1.4 - HOPP - 90%'!G12/'1.4 - HOPP - 90%'!$I12-1)*100</f>
        <v>0.73606027643082772</v>
      </c>
      <c r="D65">
        <f>('1.4 - HOPP - 90%'!H12/'1.4 - HOPP - 90%'!$I12-1)*100</f>
        <v>3.7903301200395978</v>
      </c>
      <c r="E65">
        <f>('1.4 - HOPP - 90%'!I12/'1.4 - HOPP - 90%'!$I12-1)*100</f>
        <v>0</v>
      </c>
    </row>
    <row r="68" spans="1:14" x14ac:dyDescent="0.2">
      <c r="B68">
        <f>MAX(B42:D42)</f>
        <v>3.8924901927337885</v>
      </c>
      <c r="C68">
        <f>MIN(B42:D42)</f>
        <v>-2.6525966360648412</v>
      </c>
    </row>
    <row r="69" spans="1:14" x14ac:dyDescent="0.2">
      <c r="B69">
        <f>MAX(B59:D59)</f>
        <v>4.8037154872444976</v>
      </c>
      <c r="C69">
        <f>MIN(B59:D59)</f>
        <v>1.2101495500190795</v>
      </c>
    </row>
    <row r="71" spans="1:14" x14ac:dyDescent="0.2">
      <c r="F71" s="256" t="s">
        <v>246</v>
      </c>
      <c r="G71" s="256"/>
      <c r="H71" s="256"/>
      <c r="I71" s="256"/>
      <c r="J71" s="256"/>
      <c r="K71" s="256"/>
      <c r="L71" s="256"/>
      <c r="M71" s="256"/>
      <c r="N71" s="256"/>
    </row>
    <row r="72" spans="1:14" x14ac:dyDescent="0.2">
      <c r="F72" s="256"/>
      <c r="G72" s="256"/>
      <c r="H72" s="256"/>
      <c r="I72" s="256"/>
      <c r="J72" s="256"/>
      <c r="K72" s="256"/>
      <c r="L72" s="256"/>
      <c r="M72" s="256"/>
      <c r="N72" s="256"/>
    </row>
    <row r="74" spans="1:14" x14ac:dyDescent="0.2">
      <c r="F74" s="255" t="s">
        <v>242</v>
      </c>
      <c r="G74" s="255"/>
      <c r="H74" s="255"/>
      <c r="I74" s="255"/>
      <c r="J74" s="255"/>
      <c r="K74" s="255"/>
      <c r="L74" s="255"/>
      <c r="M74" s="255"/>
      <c r="N74" s="255"/>
    </row>
    <row r="75" spans="1:14" x14ac:dyDescent="0.2">
      <c r="F75" s="255"/>
      <c r="G75" s="255"/>
      <c r="H75" s="255"/>
      <c r="I75" s="255"/>
      <c r="J75" s="255"/>
      <c r="K75" s="255"/>
      <c r="L75" s="255"/>
      <c r="M75" s="255"/>
      <c r="N75" s="255"/>
    </row>
    <row r="76" spans="1:14" x14ac:dyDescent="0.2">
      <c r="F76" s="255"/>
      <c r="G76" s="255"/>
      <c r="H76" s="255"/>
      <c r="I76" s="255"/>
      <c r="J76" s="255"/>
      <c r="K76" s="255"/>
      <c r="L76" s="255"/>
      <c r="M76" s="255"/>
      <c r="N76" s="255"/>
    </row>
  </sheetData>
  <mergeCells count="6">
    <mergeCell ref="F2:N3"/>
    <mergeCell ref="F74:N76"/>
    <mergeCell ref="F18:N19"/>
    <mergeCell ref="F36:N37"/>
    <mergeCell ref="F54:N55"/>
    <mergeCell ref="F71:N72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39A0EC-C17F-2C4F-B3C3-08EF36489D58}">
  <dimension ref="A2:N74"/>
  <sheetViews>
    <sheetView topLeftCell="A11" zoomScale="85" zoomScaleNormal="85" workbookViewId="0">
      <selection activeCell="B57" sqref="B57:E63"/>
    </sheetView>
  </sheetViews>
  <sheetFormatPr baseColWidth="10" defaultColWidth="11.5" defaultRowHeight="15" x14ac:dyDescent="0.2"/>
  <cols>
    <col min="1" max="1" width="15.5" customWidth="1"/>
  </cols>
  <sheetData>
    <row r="2" spans="1:14" x14ac:dyDescent="0.2">
      <c r="F2" s="254" t="s">
        <v>241</v>
      </c>
      <c r="G2" s="254"/>
      <c r="H2" s="254"/>
      <c r="I2" s="254"/>
      <c r="J2" s="254"/>
      <c r="K2" s="254"/>
      <c r="L2" s="254"/>
      <c r="M2" s="254"/>
      <c r="N2" s="254"/>
    </row>
    <row r="3" spans="1:14" x14ac:dyDescent="0.2">
      <c r="F3" s="254"/>
      <c r="G3" s="254"/>
      <c r="H3" s="254"/>
      <c r="I3" s="254"/>
      <c r="J3" s="254"/>
      <c r="K3" s="254"/>
      <c r="L3" s="254"/>
      <c r="M3" s="254"/>
      <c r="N3" s="254"/>
    </row>
    <row r="8" spans="1:14" x14ac:dyDescent="0.2">
      <c r="A8" t="s">
        <v>247</v>
      </c>
      <c r="B8" s="64" t="s">
        <v>237</v>
      </c>
      <c r="C8" s="64" t="s">
        <v>238</v>
      </c>
      <c r="D8" s="64" t="s">
        <v>239</v>
      </c>
      <c r="E8" s="64" t="s">
        <v>240</v>
      </c>
    </row>
    <row r="9" spans="1:14" x14ac:dyDescent="0.2">
      <c r="A9" s="64" t="s">
        <v>6</v>
      </c>
      <c r="B9" s="18">
        <f>('2.1 - AESOPT - 30%'!F4/'2.1 - AESOPT - 30%'!$H$4-1)*100</f>
        <v>4.0703231919273275</v>
      </c>
      <c r="C9" s="18">
        <f>('2.1 - AESOPT - 30%'!G4/'2.1 - AESOPT - 30%'!$H$4-1)*100</f>
        <v>-4.8481022675671674</v>
      </c>
      <c r="D9" s="18">
        <f>('2.1 - AESOPT - 30%'!H4/'2.1 - AESOPT - 30%'!$H$4-1)*100</f>
        <v>0</v>
      </c>
      <c r="E9" s="18">
        <f>('2.1 - AESOPT - 30%'!I4/'2.1 - AESOPT - 30%'!$H$4-1)*100</f>
        <v>2.0075596589340217</v>
      </c>
    </row>
    <row r="10" spans="1:14" x14ac:dyDescent="0.2">
      <c r="A10" s="64" t="s">
        <v>11</v>
      </c>
      <c r="B10">
        <f>('2.1 - AESOPT - 30%'!F6/'2.1 - AESOPT - 30%'!$H$6-1)*100</f>
        <v>4.0706685201643555</v>
      </c>
      <c r="C10">
        <f>('2.1 - AESOPT - 30%'!G6/'2.1 - AESOPT - 30%'!$H$6-1)*100</f>
        <v>-4.913230185787687</v>
      </c>
      <c r="D10">
        <f>('2.1 - AESOPT - 30%'!H6/'2.1 - AESOPT - 30%'!$H$6-1)*100</f>
        <v>0</v>
      </c>
      <c r="E10">
        <f>('2.1 - AESOPT - 30%'!I6/'2.1 - AESOPT - 30%'!$H$6-1)*100</f>
        <v>2.007898156123944</v>
      </c>
    </row>
    <row r="11" spans="1:14" x14ac:dyDescent="0.2">
      <c r="A11" s="64" t="s">
        <v>14</v>
      </c>
      <c r="B11">
        <f>('2.1 - AESOPT - 30%'!F7/'2.1 - AESOPT - 30%'!$H$7-1)*100</f>
        <v>9.9477490976541461</v>
      </c>
      <c r="C11">
        <f>('2.1 - AESOPT - 30%'!G7/'2.1 - AESOPT - 30%'!$H$7-1)*100</f>
        <v>-15.295942648824468</v>
      </c>
      <c r="D11">
        <f>('2.1 - AESOPT - 30%'!H7/'2.1 - AESOPT - 30%'!$H$7-1)*100</f>
        <v>0</v>
      </c>
      <c r="E11">
        <f>('2.1 - AESOPT - 30%'!I7/'2.1 - AESOPT - 30%'!$H$7-1)*100</f>
        <v>4.7638469847426812</v>
      </c>
    </row>
    <row r="12" spans="1:14" x14ac:dyDescent="0.2">
      <c r="A12" s="64" t="s">
        <v>20</v>
      </c>
      <c r="B12">
        <f>('2.1 - AESOPT - 30%'!F9/'2.1 - AESOPT - 30%'!$H$9-1)*100</f>
        <v>-3.6563250495303845</v>
      </c>
      <c r="C12">
        <f>('2.1 - AESOPT - 30%'!G9/'2.1 - AESOPT - 30%'!$H$9-1)*100</f>
        <v>7.1534366307837161</v>
      </c>
      <c r="D12">
        <f>('2.1 - AESOPT - 30%'!H9/'2.1 - AESOPT - 30%'!$H$9-1)*100</f>
        <v>0</v>
      </c>
      <c r="E12">
        <f>('2.1 - AESOPT - 30%'!I9/'2.1 - AESOPT - 30%'!$H$9-1)*100</f>
        <v>-1.7734508251535774</v>
      </c>
    </row>
    <row r="13" spans="1:14" x14ac:dyDescent="0.2">
      <c r="A13" s="64" t="s">
        <v>21</v>
      </c>
      <c r="B13">
        <f>('2.1 - AESOPT - 30%'!F10/'2.1 - AESOPT - 30%'!$H$10-1)*100</f>
        <v>0.3110715945503717</v>
      </c>
      <c r="C13">
        <f>('2.1 - AESOPT - 30%'!G10/'2.1 - AESOPT - 30%'!$H$10-1)*100</f>
        <v>1.9732160182619252</v>
      </c>
      <c r="D13">
        <f>('2.1 - AESOPT - 30%'!H10/'2.1 - AESOPT - 30%'!$H$10-1)*100</f>
        <v>0</v>
      </c>
      <c r="E13">
        <f>('2.1 - AESOPT - 30%'!I10/'2.1 - AESOPT - 30%'!$H$10-1)*100</f>
        <v>0.24441523707519064</v>
      </c>
    </row>
    <row r="14" spans="1:14" x14ac:dyDescent="0.2">
      <c r="A14" s="64" t="s">
        <v>23</v>
      </c>
      <c r="B14">
        <f>('2.1 - AESOPT - 30%'!F11/'2.1 - AESOPT - 30%'!$H$11-1)*100</f>
        <v>6.6666822478667065E-2</v>
      </c>
      <c r="C14">
        <f>('2.1 - AESOPT - 30%'!G11/'2.1 - AESOPT - 30%'!$H$11-1)*100</f>
        <v>1.8950035484893712</v>
      </c>
      <c r="D14">
        <f>('2.1 - AESOPT - 30%'!H11/'2.1 - AESOPT - 30%'!$H$11-1)*100</f>
        <v>0</v>
      </c>
      <c r="E14">
        <f>('2.1 - AESOPT - 30%'!I11/'2.1 - AESOPT - 30%'!$H$11-1)*100</f>
        <v>-8.0039785910201999E-7</v>
      </c>
    </row>
    <row r="15" spans="1:14" x14ac:dyDescent="0.2">
      <c r="A15" s="64" t="s">
        <v>232</v>
      </c>
      <c r="B15">
        <f>('2.1 - AESOPT - 30%'!F12/'2.1 - AESOPT - 30%'!$H$12-1)*100</f>
        <v>4.1974254297408642</v>
      </c>
      <c r="C15">
        <f>('2.1 - AESOPT - 30%'!G12/'2.1 - AESOPT - 30%'!$H$12-1)*100</f>
        <v>-5.0487923772637995</v>
      </c>
      <c r="D15">
        <f>('2.1 - AESOPT - 30%'!H12/'2.1 - AESOPT - 30%'!$H$12-1)*100</f>
        <v>0</v>
      </c>
      <c r="E15">
        <f>('2.1 - AESOPT - 30%'!I12/'2.1 - AESOPT - 30%'!$H$12-1)*100</f>
        <v>2.0525712287780218</v>
      </c>
    </row>
    <row r="16" spans="1:14" x14ac:dyDescent="0.2">
      <c r="A16" s="64"/>
    </row>
    <row r="17" spans="1:14" x14ac:dyDescent="0.2">
      <c r="A17" s="64"/>
    </row>
    <row r="18" spans="1:14" x14ac:dyDescent="0.2">
      <c r="A18" s="64"/>
    </row>
    <row r="19" spans="1:14" x14ac:dyDescent="0.2">
      <c r="A19" s="64"/>
      <c r="F19" s="256" t="s">
        <v>243</v>
      </c>
      <c r="G19" s="256"/>
      <c r="H19" s="256"/>
      <c r="I19" s="256"/>
      <c r="J19" s="256"/>
      <c r="K19" s="256"/>
      <c r="L19" s="256"/>
      <c r="M19" s="256"/>
      <c r="N19" s="256"/>
    </row>
    <row r="20" spans="1:14" x14ac:dyDescent="0.2">
      <c r="A20" s="64"/>
      <c r="F20" s="256"/>
      <c r="G20" s="256"/>
      <c r="H20" s="256"/>
      <c r="I20" s="256"/>
      <c r="J20" s="256"/>
      <c r="K20" s="256"/>
      <c r="L20" s="256"/>
      <c r="M20" s="256"/>
      <c r="N20" s="256"/>
    </row>
    <row r="21" spans="1:14" x14ac:dyDescent="0.2">
      <c r="A21" s="64"/>
    </row>
    <row r="22" spans="1:14" x14ac:dyDescent="0.2">
      <c r="A22" s="64"/>
    </row>
    <row r="24" spans="1:14" x14ac:dyDescent="0.2">
      <c r="A24" t="s">
        <v>248</v>
      </c>
      <c r="B24" s="64" t="s">
        <v>237</v>
      </c>
      <c r="C24" s="64" t="s">
        <v>238</v>
      </c>
      <c r="D24" s="64" t="s">
        <v>239</v>
      </c>
      <c r="E24" s="64" t="s">
        <v>240</v>
      </c>
    </row>
    <row r="25" spans="1:14" x14ac:dyDescent="0.2">
      <c r="A25" s="64" t="s">
        <v>6</v>
      </c>
      <c r="B25" s="18">
        <f>('2.2 - AESOPT - 50%'!F4/'2.2 - AESOPT - 50%'!$H$4-1)*100</f>
        <v>-6.6836754963393137</v>
      </c>
      <c r="C25" s="18">
        <f>('2.2 - AESOPT - 50%'!G4/'2.2 - AESOPT - 50%'!$H$4-1)*100</f>
        <v>-4.5429710039855635</v>
      </c>
      <c r="D25" s="18">
        <f>('2.2 - AESOPT - 50%'!H4/'2.2 - AESOPT - 50%'!$H$4-1)*100</f>
        <v>0</v>
      </c>
      <c r="E25" s="18">
        <f>('2.2 - AESOPT - 50%'!I4/'2.2 - AESOPT - 50%'!$H$4-1)*100</f>
        <v>3.1824211437798233</v>
      </c>
    </row>
    <row r="26" spans="1:14" x14ac:dyDescent="0.2">
      <c r="A26" s="64" t="s">
        <v>11</v>
      </c>
      <c r="B26">
        <f>('2.2 - AESOPT - 50%'!F6/'2.2 - AESOPT - 50%'!$H$6-1)*100</f>
        <v>-6.6833658522369888</v>
      </c>
      <c r="C26">
        <f>('2.2 - AESOPT - 50%'!G6/'2.2 - AESOPT - 50%'!$H$6-1)*100</f>
        <v>-4.6083078613462947</v>
      </c>
      <c r="D26">
        <f>('2.2 - AESOPT - 50%'!H6/'2.2 - AESOPT - 50%'!$H$6-1)*100</f>
        <v>0</v>
      </c>
      <c r="E26">
        <f>('2.2 - AESOPT - 50%'!I6/'2.2 - AESOPT - 50%'!$H$6-1)*100</f>
        <v>3.182763526123189</v>
      </c>
    </row>
    <row r="27" spans="1:14" x14ac:dyDescent="0.2">
      <c r="A27" s="65" t="s">
        <v>14</v>
      </c>
      <c r="B27">
        <f>('2.2 - AESOPT - 50%'!F7/'2.2 - AESOPT - 50%'!$H$7-1)*100</f>
        <v>-23.368171450037913</v>
      </c>
      <c r="C27">
        <f>('2.2 - AESOPT - 50%'!G7/'2.2 - AESOPT - 50%'!$H$7-1)*100</f>
        <v>-9.519226342637733</v>
      </c>
      <c r="D27">
        <f>('2.2 - AESOPT - 50%'!H7/'2.2 - AESOPT - 50%'!$H$7-1)*100</f>
        <v>0</v>
      </c>
      <c r="E27">
        <f>('2.2 - AESOPT - 50%'!I7/'2.2 - AESOPT - 50%'!$H$7-1)*100</f>
        <v>-27.715216336535875</v>
      </c>
    </row>
    <row r="28" spans="1:14" x14ac:dyDescent="0.2">
      <c r="A28" s="64" t="s">
        <v>20</v>
      </c>
      <c r="B28">
        <f>('2.2 - AESOPT - 50%'!F9/'2.2 - AESOPT - 50%'!$H$9-1)*100</f>
        <v>-5.2713304064034965</v>
      </c>
      <c r="C28">
        <f>('2.2 - AESOPT - 50%'!G9/'2.2 - AESOPT - 50%'!$H$9-1)*100</f>
        <v>-2.2488874337627918</v>
      </c>
      <c r="D28">
        <f>('2.2 - AESOPT - 50%'!H9/'2.2 - AESOPT - 50%'!$H$9-1)*100</f>
        <v>0</v>
      </c>
      <c r="E28">
        <f>('2.2 - AESOPT - 50%'!I9/'2.2 - AESOPT - 50%'!$H$9-1)*100</f>
        <v>-9.3430421779302719</v>
      </c>
    </row>
    <row r="29" spans="1:14" x14ac:dyDescent="0.2">
      <c r="A29" s="64" t="s">
        <v>21</v>
      </c>
      <c r="B29">
        <f>('2.2 - AESOPT - 50%'!F10/'2.2 - AESOPT - 50%'!$H$10-1)*100</f>
        <v>-12.766709056291281</v>
      </c>
      <c r="C29">
        <f>('2.2 - AESOPT - 50%'!G10/'2.2 - AESOPT - 50%'!$H$10-1)*100</f>
        <v>17.387971649923273</v>
      </c>
      <c r="D29">
        <f>('2.2 - AESOPT - 50%'!H10/'2.2 - AESOPT - 50%'!$H$10-1)*100</f>
        <v>0</v>
      </c>
      <c r="E29">
        <f>('2.2 - AESOPT - 50%'!I10/'2.2 - AESOPT - 50%'!$H$10-1)*100</f>
        <v>17.68076462030994</v>
      </c>
    </row>
    <row r="30" spans="1:14" x14ac:dyDescent="0.2">
      <c r="A30" s="64" t="s">
        <v>23</v>
      </c>
      <c r="B30">
        <f>('2.2 - AESOPT - 50%'!F11/'2.2 - AESOPT - 50%'!$H$11-1)*100</f>
        <v>-2.2240358959277895</v>
      </c>
      <c r="C30">
        <f>('2.2 - AESOPT - 50%'!G11/'2.2 - AESOPT - 50%'!$H$11-1)*100</f>
        <v>-0.17294185795810879</v>
      </c>
      <c r="D30">
        <f>('2.2 - AESOPT - 50%'!H11/'2.2 - AESOPT - 50%'!$H$11-1)*100</f>
        <v>0</v>
      </c>
      <c r="E30">
        <f>('2.2 - AESOPT - 50%'!I11/'2.2 - AESOPT - 50%'!$H$11-1)*100</f>
        <v>0.15848749412115115</v>
      </c>
    </row>
    <row r="31" spans="1:14" x14ac:dyDescent="0.2">
      <c r="A31" s="64" t="s">
        <v>232</v>
      </c>
      <c r="B31">
        <f>('2.2 - AESOPT - 50%'!F12/'2.2 - AESOPT - 50%'!$H$12-1)*100</f>
        <v>-6.2821590227127855</v>
      </c>
      <c r="C31">
        <f>('2.2 - AESOPT - 50%'!G12/'2.2 - AESOPT - 50%'!$H$12-1)*100</f>
        <v>-5.410134551317924</v>
      </c>
      <c r="D31">
        <f>('2.2 - AESOPT - 50%'!H12/'2.2 - AESOPT - 50%'!$H$12-1)*100</f>
        <v>0</v>
      </c>
      <c r="E31">
        <f>('2.2 - AESOPT - 50%'!I12/'2.2 - AESOPT - 50%'!$H$12-1)*100</f>
        <v>3.15587648602913</v>
      </c>
    </row>
    <row r="32" spans="1:14" x14ac:dyDescent="0.2">
      <c r="A32" s="64"/>
    </row>
    <row r="33" spans="1:14" x14ac:dyDescent="0.2">
      <c r="A33" s="64"/>
      <c r="B33" s="18"/>
      <c r="C33" s="18"/>
    </row>
    <row r="34" spans="1:14" x14ac:dyDescent="0.2">
      <c r="A34" s="64"/>
      <c r="B34" s="63"/>
      <c r="C34" s="63"/>
      <c r="D34" s="63"/>
      <c r="E34" s="63"/>
    </row>
    <row r="35" spans="1:14" x14ac:dyDescent="0.2">
      <c r="A35" s="64"/>
      <c r="B35" s="63"/>
      <c r="C35" s="63"/>
      <c r="D35" s="63"/>
      <c r="E35" s="63"/>
    </row>
    <row r="36" spans="1:14" x14ac:dyDescent="0.2">
      <c r="A36" s="64"/>
      <c r="B36" s="63"/>
      <c r="C36" s="63"/>
      <c r="D36" s="63"/>
      <c r="E36" s="63"/>
      <c r="F36" s="256" t="s">
        <v>244</v>
      </c>
      <c r="G36" s="256"/>
      <c r="H36" s="256"/>
      <c r="I36" s="256"/>
      <c r="J36" s="256"/>
      <c r="K36" s="256"/>
      <c r="L36" s="256"/>
      <c r="M36" s="256"/>
      <c r="N36" s="256"/>
    </row>
    <row r="37" spans="1:14" x14ac:dyDescent="0.2">
      <c r="A37" s="64"/>
      <c r="F37" s="256"/>
      <c r="G37" s="256"/>
      <c r="H37" s="256"/>
      <c r="I37" s="256"/>
      <c r="J37" s="256"/>
      <c r="K37" s="256"/>
      <c r="L37" s="256"/>
      <c r="M37" s="256"/>
      <c r="N37" s="256"/>
    </row>
    <row r="40" spans="1:14" x14ac:dyDescent="0.2">
      <c r="A40" t="s">
        <v>249</v>
      </c>
      <c r="B40" s="64" t="s">
        <v>237</v>
      </c>
      <c r="C40" s="64" t="s">
        <v>238</v>
      </c>
      <c r="D40" s="64" t="s">
        <v>239</v>
      </c>
      <c r="E40" s="64" t="s">
        <v>240</v>
      </c>
    </row>
    <row r="41" spans="1:14" x14ac:dyDescent="0.2">
      <c r="A41" s="64" t="s">
        <v>6</v>
      </c>
      <c r="B41">
        <f>('2.3 - AESOPT - 70%'!F4/'2.3 - AESOPT - 70%'!$H$4-1)*100</f>
        <v>1.2946525119237551</v>
      </c>
      <c r="C41">
        <f>('2.3 - AESOPT - 70%'!G4/'2.3 - AESOPT - 70%'!$H$4-1)*100</f>
        <v>-7.9030467965023217</v>
      </c>
      <c r="D41">
        <f>('2.3 - AESOPT - 70%'!H4/'2.3 - AESOPT - 70%'!$H$4-1)*100</f>
        <v>0</v>
      </c>
      <c r="E41">
        <f>('2.3 - AESOPT - 70%'!I4/'2.3 - AESOPT - 70%'!$H$4-1)*100</f>
        <v>-5.4530502775281491</v>
      </c>
    </row>
    <row r="42" spans="1:14" x14ac:dyDescent="0.2">
      <c r="A42" s="64" t="s">
        <v>11</v>
      </c>
      <c r="B42">
        <f>('2.3 - AESOPT - 70%'!F6/'2.3 - AESOPT - 70%'!$H$6-1)*100</f>
        <v>1.2949886298753155</v>
      </c>
      <c r="C42">
        <f>('2.3 - AESOPT - 70%'!G6/'2.3 - AESOPT - 70%'!$H$6-1)*100</f>
        <v>-7.9660837184551525</v>
      </c>
      <c r="D42">
        <f>('2.3 - AESOPT - 70%'!H6/'2.3 - AESOPT - 70%'!$H$6-1)*100</f>
        <v>0</v>
      </c>
      <c r="E42">
        <f>('2.3 - AESOPT - 70%'!I6/'2.3 - AESOPT - 70%'!$H$6-1)*100</f>
        <v>-5.4527365696938617</v>
      </c>
    </row>
    <row r="43" spans="1:14" x14ac:dyDescent="0.2">
      <c r="A43" s="65" t="s">
        <v>14</v>
      </c>
      <c r="B43">
        <f>('2.3 - AESOPT - 70%'!F7/'2.3 - AESOPT - 70%'!$H$7-1)*100</f>
        <v>1.5270351393838588</v>
      </c>
      <c r="C43">
        <f>('2.3 - AESOPT - 70%'!G7/'2.3 - AESOPT - 70%'!$H$7-1)*100</f>
        <v>20.31002044346495</v>
      </c>
      <c r="D43">
        <f>('2.3 - AESOPT - 70%'!H7/'2.3 - AESOPT - 70%'!$H$7-1)*100</f>
        <v>0</v>
      </c>
      <c r="E43">
        <f>('2.3 - AESOPT - 70%'!I7/'2.3 - AESOPT - 70%'!$H$7-1)*100</f>
        <v>14.068358460367648</v>
      </c>
    </row>
    <row r="44" spans="1:14" x14ac:dyDescent="0.2">
      <c r="A44" s="64" t="s">
        <v>20</v>
      </c>
      <c r="B44">
        <f>('2.3 - AESOPT - 70%'!F9/'2.3 - AESOPT - 70%'!$H$9-1)*100</f>
        <v>0.32757223213666364</v>
      </c>
      <c r="C44">
        <f>('2.3 - AESOPT - 70%'!G9/'2.3 - AESOPT - 70%'!$H$9-1)*100</f>
        <v>9.1730088081764638</v>
      </c>
      <c r="D44">
        <f>('2.3 - AESOPT - 70%'!H9/'2.3 - AESOPT - 70%'!$H$9-1)*100</f>
        <v>0</v>
      </c>
      <c r="E44">
        <f>('2.3 - AESOPT - 70%'!I9/'2.3 - AESOPT - 70%'!$H$9-1)*100</f>
        <v>7.1033709358942154</v>
      </c>
    </row>
    <row r="45" spans="1:14" x14ac:dyDescent="0.2">
      <c r="A45" s="64" t="s">
        <v>21</v>
      </c>
      <c r="B45">
        <f>('2.3 - AESOPT - 70%'!F10/'2.3 - AESOPT - 70%'!$H$10-1)*100</f>
        <v>1.769096514786761</v>
      </c>
      <c r="C45">
        <f>('2.3 - AESOPT - 70%'!G10/'2.3 - AESOPT - 70%'!$H$10-1)*100</f>
        <v>0.47550112043657222</v>
      </c>
      <c r="D45">
        <f>('2.3 - AESOPT - 70%'!H10/'2.3 - AESOPT - 70%'!$H$10-1)*100</f>
        <v>0</v>
      </c>
      <c r="E45">
        <f>('2.3 - AESOPT - 70%'!I10/'2.3 - AESOPT - 70%'!$H$10-1)*100</f>
        <v>1.5167244538144331</v>
      </c>
    </row>
    <row r="46" spans="1:14" x14ac:dyDescent="0.2">
      <c r="A46" s="64" t="s">
        <v>23</v>
      </c>
      <c r="B46">
        <f>('2.3 - AESOPT - 70%'!F11/'2.3 - AESOPT - 70%'!$H$11-1)*100</f>
        <v>0.49541110546551526</v>
      </c>
      <c r="C46">
        <f>('2.3 - AESOPT - 70%'!G11/'2.3 - AESOPT - 70%'!$H$11-1)*100</f>
        <v>1.0962563316820217</v>
      </c>
      <c r="D46">
        <f>('2.3 - AESOPT - 70%'!H11/'2.3 - AESOPT - 70%'!$H$11-1)*100</f>
        <v>0</v>
      </c>
      <c r="E46">
        <f>('2.3 - AESOPT - 70%'!I11/'2.3 - AESOPT - 70%'!$H$11-1)*100</f>
        <v>-0.74874173060121008</v>
      </c>
    </row>
    <row r="47" spans="1:14" x14ac:dyDescent="0.2">
      <c r="A47" s="64" t="s">
        <v>232</v>
      </c>
      <c r="B47">
        <f>('2.3 - AESOPT - 70%'!F12/'2.3 - AESOPT - 70%'!$H$12-1)*100</f>
        <v>1.6768507570356306</v>
      </c>
      <c r="C47">
        <f>('2.3 - AESOPT - 70%'!G12/'2.3 - AESOPT - 70%'!$H$12-1)*100</f>
        <v>-9.4705131519494667</v>
      </c>
      <c r="D47">
        <f>('2.3 - AESOPT - 70%'!H12/'2.3 - AESOPT - 70%'!$H$12-1)*100</f>
        <v>0</v>
      </c>
      <c r="E47">
        <f>('2.3 - AESOPT - 70%'!I12/'2.3 - AESOPT - 70%'!$H$12-1)*100</f>
        <v>-5.2258154303371995</v>
      </c>
    </row>
    <row r="48" spans="1:14" x14ac:dyDescent="0.2">
      <c r="A48" s="64"/>
    </row>
    <row r="49" spans="1:14" x14ac:dyDescent="0.2">
      <c r="A49" s="64"/>
      <c r="B49" s="18"/>
    </row>
    <row r="50" spans="1:14" x14ac:dyDescent="0.2">
      <c r="A50" s="64"/>
      <c r="B50" s="63"/>
      <c r="C50" s="63"/>
      <c r="D50" s="63"/>
      <c r="E50" s="63"/>
    </row>
    <row r="51" spans="1:14" x14ac:dyDescent="0.2">
      <c r="A51" s="64"/>
    </row>
    <row r="52" spans="1:14" x14ac:dyDescent="0.2">
      <c r="A52" s="64"/>
      <c r="F52" s="256" t="s">
        <v>245</v>
      </c>
      <c r="G52" s="256"/>
      <c r="H52" s="256"/>
      <c r="I52" s="256"/>
      <c r="J52" s="256"/>
      <c r="K52" s="256"/>
      <c r="L52" s="256"/>
      <c r="M52" s="256"/>
      <c r="N52" s="256"/>
    </row>
    <row r="53" spans="1:14" x14ac:dyDescent="0.2">
      <c r="A53" s="64"/>
      <c r="F53" s="256"/>
      <c r="G53" s="256"/>
      <c r="H53" s="256"/>
      <c r="I53" s="256"/>
      <c r="J53" s="256"/>
      <c r="K53" s="256"/>
      <c r="L53" s="256"/>
      <c r="M53" s="256"/>
      <c r="N53" s="256"/>
    </row>
    <row r="56" spans="1:14" x14ac:dyDescent="0.2">
      <c r="A56" t="s">
        <v>250</v>
      </c>
      <c r="B56" s="64" t="s">
        <v>237</v>
      </c>
      <c r="C56" s="64" t="s">
        <v>238</v>
      </c>
      <c r="D56" s="64" t="s">
        <v>239</v>
      </c>
      <c r="E56" s="64" t="s">
        <v>240</v>
      </c>
    </row>
    <row r="57" spans="1:14" x14ac:dyDescent="0.2">
      <c r="A57" s="64" t="s">
        <v>6</v>
      </c>
      <c r="B57">
        <f>('2.4 - AESOPT - 90%'!F4/'2.4 - AESOPT - 90%'!$H$4-1)*100</f>
        <v>-1.9242124837022923</v>
      </c>
      <c r="C57">
        <f>('2.4 - AESOPT - 90%'!G4/'2.4 - AESOPT - 90%'!$H$4-1)*100</f>
        <v>-5.513934178967772</v>
      </c>
      <c r="D57">
        <f>('2.4 - AESOPT - 90%'!H4/'2.4 - AESOPT - 90%'!$H$4-1)*100</f>
        <v>0</v>
      </c>
      <c r="E57">
        <f>('2.4 - AESOPT - 90%'!I4/'2.4 - AESOPT - 90%'!$H$4-1)*100</f>
        <v>-3.2498286600257553</v>
      </c>
    </row>
    <row r="58" spans="1:14" x14ac:dyDescent="0.2">
      <c r="A58" s="64" t="s">
        <v>11</v>
      </c>
      <c r="B58">
        <f>('2.3 - AESOPT - 70%'!F6/'2.3 - AESOPT - 70%'!$H$6-1)*100</f>
        <v>1.2949886298753155</v>
      </c>
      <c r="C58">
        <f>('2.3 - AESOPT - 70%'!G6/'2.3 - AESOPT - 70%'!$H$6-1)*100</f>
        <v>-7.9660837184551525</v>
      </c>
      <c r="D58">
        <f>('2.3 - AESOPT - 70%'!H6/'2.3 - AESOPT - 70%'!$H$6-1)*100</f>
        <v>0</v>
      </c>
      <c r="E58">
        <f>('2.3 - AESOPT - 70%'!I6/'2.3 - AESOPT - 70%'!$H$6-1)*100</f>
        <v>-5.4527365696938617</v>
      </c>
    </row>
    <row r="59" spans="1:14" x14ac:dyDescent="0.2">
      <c r="A59" s="65" t="s">
        <v>14</v>
      </c>
      <c r="B59">
        <f>('2.4 - AESOPT - 90%'!F7/'2.4 - AESOPT - 90%'!$H$7-1)*100</f>
        <v>1.2472061344401153</v>
      </c>
      <c r="C59">
        <f>('2.4 - AESOPT - 90%'!G7/'2.4 - AESOPT - 90%'!$H$7-1)*100</f>
        <v>7.5278686250503268</v>
      </c>
      <c r="D59">
        <f>('2.4 - AESOPT - 90%'!H7/'2.4 - AESOPT - 90%'!$H$7-1)*100</f>
        <v>0</v>
      </c>
      <c r="E59">
        <f>('2.4 - AESOPT - 90%'!I7/'2.4 - AESOPT - 90%'!$H$7-1)*100</f>
        <v>8.9773246181146469</v>
      </c>
    </row>
    <row r="60" spans="1:14" x14ac:dyDescent="0.2">
      <c r="A60" s="64" t="s">
        <v>20</v>
      </c>
      <c r="B60">
        <f>('2.4 - AESOPT - 90%'!F9/'2.4 - AESOPT - 90%'!$H$9-1)*100</f>
        <v>1.2327237274252001</v>
      </c>
      <c r="C60">
        <f>('2.4 - AESOPT - 90%'!G9/'2.4 - AESOPT - 90%'!$H$9-1)*100</f>
        <v>5.6892476170925299</v>
      </c>
      <c r="D60">
        <f>('2.4 - AESOPT - 90%'!H9/'2.4 - AESOPT - 90%'!$H$9-1)*100</f>
        <v>0</v>
      </c>
      <c r="E60">
        <f>('2.4 - AESOPT - 90%'!I9/'2.4 - AESOPT - 90%'!$H$9-1)*100</f>
        <v>5.5851638975514595</v>
      </c>
    </row>
    <row r="61" spans="1:14" x14ac:dyDescent="0.2">
      <c r="A61" s="64" t="s">
        <v>21</v>
      </c>
      <c r="B61">
        <f>('2.4 - AESOPT - 90%'!F10/'2.4 - AESOPT - 90%'!$H$10-1)*100</f>
        <v>-17.365841905203826</v>
      </c>
      <c r="C61">
        <f>('2.4 - AESOPT - 90%'!G10/'2.4 - AESOPT - 90%'!$H$10-1)*100</f>
        <v>1.4410498890964574</v>
      </c>
      <c r="D61">
        <f>('2.4 - AESOPT - 90%'!H10/'2.4 - AESOPT - 90%'!$H$10-1)*100</f>
        <v>0</v>
      </c>
      <c r="E61">
        <f>('2.4 - AESOPT - 90%'!I10/'2.4 - AESOPT - 90%'!$H$10-1)*100</f>
        <v>3.8245654078965297</v>
      </c>
    </row>
    <row r="62" spans="1:14" x14ac:dyDescent="0.2">
      <c r="A62" s="64" t="s">
        <v>23</v>
      </c>
      <c r="B62">
        <f>('2.4 - AESOPT - 90%'!F11/'2.4 - AESOPT - 90%'!$H$11-1)*100</f>
        <v>1.9656503516598312</v>
      </c>
      <c r="C62">
        <f>('2.4 - AESOPT - 90%'!G11/'2.4 - AESOPT - 90%'!$H$11-1)*100</f>
        <v>3.3065539828436519</v>
      </c>
      <c r="D62">
        <f>('2.4 - AESOPT - 90%'!H11/'2.4 - AESOPT - 90%'!$H$11-1)*100</f>
        <v>0</v>
      </c>
      <c r="E62">
        <f>('2.4 - AESOPT - 90%'!I11/'2.4 - AESOPT - 90%'!$H$11-1)*100</f>
        <v>5.3070766361114963</v>
      </c>
    </row>
    <row r="63" spans="1:14" x14ac:dyDescent="0.2">
      <c r="A63" s="64" t="s">
        <v>232</v>
      </c>
      <c r="B63">
        <f>('2.4 - AESOPT - 90%'!F12/'2.4 - AESOPT - 90%'!$H$12-1)*100</f>
        <v>-2.3501337891053131</v>
      </c>
      <c r="C63">
        <f>('2.4 - AESOPT - 90%'!G12/'2.4 - AESOPT - 90%'!$H$12-1)*100</f>
        <v>-6.5252922722585431</v>
      </c>
      <c r="D63">
        <f>('2.4 - AESOPT - 90%'!H12/'2.4 - AESOPT - 90%'!$H$12-1)*100</f>
        <v>0</v>
      </c>
      <c r="E63">
        <f>('2.4 - AESOPT - 90%'!I12/'2.4 - AESOPT - 90%'!$H$12-1)*100</f>
        <v>-3.5309573736457822</v>
      </c>
    </row>
    <row r="66" spans="2:14" x14ac:dyDescent="0.2">
      <c r="B66">
        <f>MAX(B29:E29)</f>
        <v>17.68076462030994</v>
      </c>
      <c r="C66">
        <f>MIN(B29:E29)</f>
        <v>-12.766709056291281</v>
      </c>
    </row>
    <row r="67" spans="2:14" x14ac:dyDescent="0.2">
      <c r="B67">
        <f>MAX(B27:E27)</f>
        <v>0</v>
      </c>
      <c r="C67">
        <f>MIN(B27:E27)</f>
        <v>-27.715216336535875</v>
      </c>
    </row>
    <row r="69" spans="2:14" x14ac:dyDescent="0.2">
      <c r="F69" s="256" t="s">
        <v>246</v>
      </c>
      <c r="G69" s="256"/>
      <c r="H69" s="256"/>
      <c r="I69" s="256"/>
      <c r="J69" s="256"/>
      <c r="K69" s="256"/>
      <c r="L69" s="256"/>
      <c r="M69" s="256"/>
      <c r="N69" s="256"/>
    </row>
    <row r="70" spans="2:14" x14ac:dyDescent="0.2">
      <c r="F70" s="256"/>
      <c r="G70" s="256"/>
      <c r="H70" s="256"/>
      <c r="I70" s="256"/>
      <c r="J70" s="256"/>
      <c r="K70" s="256"/>
      <c r="L70" s="256"/>
      <c r="M70" s="256"/>
      <c r="N70" s="256"/>
    </row>
    <row r="72" spans="2:14" x14ac:dyDescent="0.2">
      <c r="F72" s="255" t="s">
        <v>251</v>
      </c>
      <c r="G72" s="255"/>
      <c r="H72" s="255"/>
      <c r="I72" s="255"/>
      <c r="J72" s="255"/>
      <c r="K72" s="255"/>
      <c r="L72" s="255"/>
      <c r="M72" s="255"/>
      <c r="N72" s="255"/>
    </row>
    <row r="73" spans="2:14" x14ac:dyDescent="0.2">
      <c r="F73" s="255"/>
      <c r="G73" s="255"/>
      <c r="H73" s="255"/>
      <c r="I73" s="255"/>
      <c r="J73" s="255"/>
      <c r="K73" s="255"/>
      <c r="L73" s="255"/>
      <c r="M73" s="255"/>
      <c r="N73" s="255"/>
    </row>
    <row r="74" spans="2:14" x14ac:dyDescent="0.2">
      <c r="F74" s="255"/>
      <c r="G74" s="255"/>
      <c r="H74" s="255"/>
      <c r="I74" s="255"/>
      <c r="J74" s="255"/>
      <c r="K74" s="255"/>
      <c r="L74" s="255"/>
      <c r="M74" s="255"/>
      <c r="N74" s="255"/>
    </row>
  </sheetData>
  <mergeCells count="6">
    <mergeCell ref="F72:N74"/>
    <mergeCell ref="F2:N3"/>
    <mergeCell ref="F19:N20"/>
    <mergeCell ref="F36:N37"/>
    <mergeCell ref="F52:N53"/>
    <mergeCell ref="F69:N70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20984-9DF1-483C-81F3-5F41CD1302DE}">
  <dimension ref="B1:R138"/>
  <sheetViews>
    <sheetView zoomScale="85" zoomScaleNormal="85" workbookViewId="0">
      <selection activeCell="I4" sqref="I4"/>
    </sheetView>
  </sheetViews>
  <sheetFormatPr baseColWidth="10" defaultColWidth="8.83203125" defaultRowHeight="15" x14ac:dyDescent="0.2"/>
  <cols>
    <col min="2" max="2" width="16.83203125" customWidth="1"/>
    <col min="3" max="3" width="20.1640625" style="1" customWidth="1"/>
    <col min="4" max="4" width="43" style="1" customWidth="1"/>
    <col min="5" max="5" width="12.5" style="1" customWidth="1"/>
    <col min="6" max="6" width="17.5" style="37" customWidth="1"/>
    <col min="7" max="7" width="19.1640625" style="37" customWidth="1"/>
    <col min="8" max="8" width="14.83203125" style="37" customWidth="1"/>
    <col min="9" max="9" width="16.1640625" style="38" customWidth="1"/>
    <col min="10" max="12" width="16.1640625" style="1" customWidth="1"/>
    <col min="13" max="13" width="12" customWidth="1"/>
  </cols>
  <sheetData>
    <row r="1" spans="2:13" ht="16" thickBot="1" x14ac:dyDescent="0.25">
      <c r="F1"/>
      <c r="G1"/>
      <c r="H1"/>
      <c r="I1" s="1"/>
    </row>
    <row r="2" spans="2:13" ht="16" thickBot="1" x14ac:dyDescent="0.25">
      <c r="B2" s="245" t="s">
        <v>0</v>
      </c>
      <c r="C2" s="247" t="s">
        <v>1</v>
      </c>
      <c r="D2" s="249" t="s">
        <v>2</v>
      </c>
      <c r="E2" s="236" t="s">
        <v>3</v>
      </c>
      <c r="F2" s="238" t="s">
        <v>4</v>
      </c>
      <c r="G2" s="239"/>
      <c r="H2" s="239"/>
      <c r="I2" s="240"/>
      <c r="J2" s="2"/>
      <c r="K2" s="2"/>
      <c r="L2" s="2"/>
    </row>
    <row r="3" spans="2:13" s="1" customFormat="1" ht="16" thickBot="1" x14ac:dyDescent="0.25">
      <c r="B3" s="246"/>
      <c r="C3" s="248"/>
      <c r="D3" s="250"/>
      <c r="E3" s="237"/>
      <c r="F3" s="62" t="s">
        <v>237</v>
      </c>
      <c r="G3" s="66" t="s">
        <v>238</v>
      </c>
      <c r="H3" s="62" t="s">
        <v>239</v>
      </c>
      <c r="I3" s="42" t="s">
        <v>240</v>
      </c>
      <c r="J3" s="3"/>
      <c r="K3" s="3"/>
      <c r="L3" s="3"/>
      <c r="M3" s="3"/>
    </row>
    <row r="4" spans="2:13" x14ac:dyDescent="0.2">
      <c r="B4" s="241" t="s">
        <v>5</v>
      </c>
      <c r="C4" s="4" t="s">
        <v>6</v>
      </c>
      <c r="D4" s="5" t="s">
        <v>7</v>
      </c>
      <c r="E4" s="6" t="s">
        <v>8</v>
      </c>
      <c r="F4" s="73">
        <v>124.660906281804</v>
      </c>
      <c r="G4" s="73">
        <v>113.2941233</v>
      </c>
      <c r="H4" s="43">
        <v>121.8703</v>
      </c>
      <c r="I4" s="84">
        <v>123.510384995091</v>
      </c>
      <c r="J4" s="7"/>
      <c r="K4" s="7"/>
      <c r="L4" s="8"/>
    </row>
    <row r="5" spans="2:13" x14ac:dyDescent="0.2">
      <c r="B5" s="242"/>
      <c r="C5" s="9"/>
      <c r="D5" s="10" t="s">
        <v>9</v>
      </c>
      <c r="E5" s="6" t="s">
        <v>10</v>
      </c>
      <c r="F5" s="74">
        <v>0</v>
      </c>
      <c r="G5" s="74" t="s">
        <v>231</v>
      </c>
      <c r="H5" s="44">
        <v>0</v>
      </c>
      <c r="I5" s="85">
        <v>0</v>
      </c>
      <c r="J5" s="7"/>
      <c r="K5" s="7"/>
      <c r="L5" s="8"/>
    </row>
    <row r="6" spans="2:13" x14ac:dyDescent="0.2">
      <c r="B6" s="242"/>
      <c r="C6" s="9" t="s">
        <v>11</v>
      </c>
      <c r="D6" s="10" t="s">
        <v>12</v>
      </c>
      <c r="E6" s="6" t="s">
        <v>13</v>
      </c>
      <c r="F6" s="75">
        <v>0.35884588185692601</v>
      </c>
      <c r="G6" s="75">
        <v>0.32590000000000002</v>
      </c>
      <c r="H6" s="45">
        <v>0.35081200000000001</v>
      </c>
      <c r="I6" s="86">
        <v>0.35553401899999998</v>
      </c>
      <c r="J6" s="7"/>
      <c r="K6" s="7"/>
      <c r="L6" s="8"/>
    </row>
    <row r="7" spans="2:13" x14ac:dyDescent="0.2">
      <c r="B7" s="242"/>
      <c r="C7" s="9" t="s">
        <v>14</v>
      </c>
      <c r="D7" s="10" t="s">
        <v>15</v>
      </c>
      <c r="E7" s="6" t="s">
        <v>16</v>
      </c>
      <c r="F7" s="76">
        <v>30.138949771543299</v>
      </c>
      <c r="G7" s="76">
        <v>21.46652787</v>
      </c>
      <c r="H7" s="46">
        <v>28.195869999999999</v>
      </c>
      <c r="I7" s="87">
        <v>29.25944625</v>
      </c>
      <c r="J7" s="7"/>
      <c r="K7" s="7"/>
      <c r="L7" s="8"/>
      <c r="M7" s="11"/>
    </row>
    <row r="8" spans="2:13" x14ac:dyDescent="0.2">
      <c r="B8" s="242"/>
      <c r="C8" s="9" t="s">
        <v>17</v>
      </c>
      <c r="D8" s="10" t="s">
        <v>18</v>
      </c>
      <c r="E8" s="6" t="s">
        <v>19</v>
      </c>
      <c r="F8" s="77">
        <v>0</v>
      </c>
      <c r="G8" s="77" t="s">
        <v>231</v>
      </c>
      <c r="H8" s="47">
        <v>0</v>
      </c>
      <c r="I8" s="88">
        <v>0</v>
      </c>
      <c r="J8" s="7"/>
      <c r="K8" s="7"/>
      <c r="L8" s="8"/>
    </row>
    <row r="9" spans="2:13" x14ac:dyDescent="0.2">
      <c r="B9" s="242"/>
      <c r="C9" s="9"/>
      <c r="D9" s="10" t="s">
        <v>20</v>
      </c>
      <c r="E9" s="6" t="s">
        <v>19</v>
      </c>
      <c r="F9" s="74">
        <v>32.951070801177302</v>
      </c>
      <c r="G9" s="74">
        <v>36.25488987</v>
      </c>
      <c r="H9" s="44">
        <v>33.623100000000001</v>
      </c>
      <c r="I9" s="85">
        <v>33.242491800000003</v>
      </c>
      <c r="J9" s="7"/>
      <c r="K9" s="7"/>
      <c r="L9" s="8"/>
    </row>
    <row r="10" spans="2:13" x14ac:dyDescent="0.2">
      <c r="B10" s="242"/>
      <c r="C10" s="9" t="s">
        <v>21</v>
      </c>
      <c r="D10" s="10" t="s">
        <v>22</v>
      </c>
      <c r="E10" s="6" t="s">
        <v>16</v>
      </c>
      <c r="F10" s="74">
        <v>50.058308339550003</v>
      </c>
      <c r="G10" s="74">
        <v>50.039633279999997</v>
      </c>
      <c r="H10" s="44">
        <v>49.912959999999998</v>
      </c>
      <c r="I10" s="85">
        <v>50.034956970000003</v>
      </c>
      <c r="J10" s="7"/>
      <c r="K10" s="7"/>
      <c r="L10" s="8"/>
      <c r="M10" s="12"/>
    </row>
    <row r="11" spans="2:13" x14ac:dyDescent="0.2">
      <c r="B11" s="242"/>
      <c r="C11" s="9" t="s">
        <v>23</v>
      </c>
      <c r="D11" s="10" t="s">
        <v>24</v>
      </c>
      <c r="E11" s="6" t="s">
        <v>25</v>
      </c>
      <c r="F11" s="78">
        <f>0.769859999999999*1000</f>
        <v>769.85999999999899</v>
      </c>
      <c r="G11" s="78">
        <v>770.86081799999999</v>
      </c>
      <c r="H11" s="48">
        <v>769.49959999999999</v>
      </c>
      <c r="I11" s="89">
        <v>769.49964</v>
      </c>
      <c r="J11" s="7"/>
      <c r="K11" s="7"/>
      <c r="L11" s="8"/>
    </row>
    <row r="12" spans="2:13" x14ac:dyDescent="0.2">
      <c r="B12" s="242"/>
      <c r="C12" s="9"/>
      <c r="D12" s="10" t="s">
        <v>26</v>
      </c>
      <c r="E12" s="6" t="s">
        <v>25</v>
      </c>
      <c r="F12" s="78">
        <f>6.11735290376058*1000</f>
        <v>6117.3529037605795</v>
      </c>
      <c r="G12" s="78">
        <v>5538.8379080000004</v>
      </c>
      <c r="H12" s="48">
        <v>5977.7380000000003</v>
      </c>
      <c r="I12" s="89">
        <v>6056.7908580000003</v>
      </c>
      <c r="J12" s="7"/>
      <c r="K12" s="7"/>
      <c r="L12" s="8"/>
      <c r="M12" s="13"/>
    </row>
    <row r="13" spans="2:13" x14ac:dyDescent="0.2">
      <c r="B13" s="242"/>
      <c r="C13" s="9" t="s">
        <v>27</v>
      </c>
      <c r="D13" s="10" t="s">
        <v>28</v>
      </c>
      <c r="E13" s="6" t="s">
        <v>13</v>
      </c>
      <c r="F13" s="75"/>
      <c r="G13" s="75" t="s">
        <v>231</v>
      </c>
      <c r="H13" s="45">
        <v>0</v>
      </c>
      <c r="I13" s="86"/>
      <c r="J13" s="7"/>
      <c r="K13" s="7"/>
      <c r="L13" s="8"/>
      <c r="M13" s="12"/>
    </row>
    <row r="14" spans="2:13" x14ac:dyDescent="0.2">
      <c r="B14" s="242"/>
      <c r="C14" s="9" t="s">
        <v>29</v>
      </c>
      <c r="D14" s="10" t="s">
        <v>30</v>
      </c>
      <c r="E14" s="6" t="s">
        <v>13</v>
      </c>
      <c r="F14" s="75"/>
      <c r="G14" s="75" t="s">
        <v>231</v>
      </c>
      <c r="H14" s="45">
        <v>0</v>
      </c>
      <c r="I14" s="86"/>
      <c r="J14" s="7"/>
      <c r="K14" s="7"/>
      <c r="L14" s="8"/>
    </row>
    <row r="15" spans="2:13" x14ac:dyDescent="0.2">
      <c r="B15" s="242"/>
      <c r="C15" s="9" t="s">
        <v>31</v>
      </c>
      <c r="D15" s="10" t="s">
        <v>32</v>
      </c>
      <c r="E15" s="6" t="s">
        <v>13</v>
      </c>
      <c r="F15" s="75"/>
      <c r="G15" s="75" t="s">
        <v>231</v>
      </c>
      <c r="H15" s="45">
        <v>0</v>
      </c>
      <c r="I15" s="86"/>
      <c r="J15" s="7"/>
      <c r="K15" s="7"/>
      <c r="L15" s="8"/>
    </row>
    <row r="16" spans="2:13" x14ac:dyDescent="0.2">
      <c r="B16" s="242"/>
      <c r="C16" s="9" t="s">
        <v>33</v>
      </c>
      <c r="D16" s="10" t="s">
        <v>34</v>
      </c>
      <c r="E16" s="6" t="s">
        <v>35</v>
      </c>
      <c r="F16" s="78"/>
      <c r="G16" s="78">
        <v>0</v>
      </c>
      <c r="H16" s="48">
        <v>0</v>
      </c>
      <c r="I16" s="89"/>
      <c r="J16" s="7"/>
      <c r="K16" s="7"/>
      <c r="L16" s="8"/>
    </row>
    <row r="17" spans="2:13" x14ac:dyDescent="0.2">
      <c r="B17" s="242"/>
      <c r="C17" s="9" t="s">
        <v>36</v>
      </c>
      <c r="D17" s="10" t="s">
        <v>37</v>
      </c>
      <c r="E17" s="6" t="s">
        <v>13</v>
      </c>
      <c r="F17" s="75"/>
      <c r="G17" s="75" t="s">
        <v>231</v>
      </c>
      <c r="H17" s="45">
        <v>0</v>
      </c>
      <c r="I17" s="86"/>
      <c r="J17" s="7"/>
      <c r="K17" s="7"/>
      <c r="L17" s="8"/>
    </row>
    <row r="18" spans="2:13" x14ac:dyDescent="0.2">
      <c r="B18" s="242"/>
      <c r="C18" s="9" t="s">
        <v>38</v>
      </c>
      <c r="D18" s="10" t="s">
        <v>39</v>
      </c>
      <c r="E18" s="6" t="s">
        <v>13</v>
      </c>
      <c r="F18" s="75">
        <v>0</v>
      </c>
      <c r="G18" s="75">
        <v>0</v>
      </c>
      <c r="H18" s="45">
        <v>0</v>
      </c>
      <c r="I18" s="86"/>
      <c r="J18" s="7"/>
      <c r="K18" s="7"/>
      <c r="L18" s="8"/>
    </row>
    <row r="19" spans="2:13" x14ac:dyDescent="0.2">
      <c r="B19" s="242"/>
      <c r="C19" s="9" t="s">
        <v>40</v>
      </c>
      <c r="D19" s="10" t="s">
        <v>41</v>
      </c>
      <c r="E19" s="6" t="s">
        <v>13</v>
      </c>
      <c r="F19" s="75">
        <v>1</v>
      </c>
      <c r="G19" s="75">
        <v>1</v>
      </c>
      <c r="H19" s="45">
        <v>1</v>
      </c>
      <c r="I19" s="86">
        <v>1</v>
      </c>
      <c r="J19" s="7"/>
      <c r="K19" s="7"/>
      <c r="L19" s="8"/>
    </row>
    <row r="20" spans="2:13" x14ac:dyDescent="0.2">
      <c r="B20" s="242"/>
      <c r="C20" s="9" t="s">
        <v>42</v>
      </c>
      <c r="D20" s="10" t="s">
        <v>43</v>
      </c>
      <c r="E20" s="6" t="s">
        <v>13</v>
      </c>
      <c r="F20" s="75">
        <v>0</v>
      </c>
      <c r="G20" s="75">
        <v>0</v>
      </c>
      <c r="H20" s="45">
        <v>0</v>
      </c>
      <c r="I20" s="86"/>
      <c r="J20" s="7"/>
      <c r="K20" s="7"/>
      <c r="L20" s="8"/>
    </row>
    <row r="21" spans="2:13" x14ac:dyDescent="0.2">
      <c r="B21" s="242"/>
      <c r="C21" s="9"/>
      <c r="D21" s="10" t="s">
        <v>44</v>
      </c>
      <c r="E21" s="6" t="s">
        <v>8</v>
      </c>
      <c r="F21" s="74">
        <v>0</v>
      </c>
      <c r="G21" s="74">
        <v>0</v>
      </c>
      <c r="H21" s="44">
        <v>0</v>
      </c>
      <c r="I21" s="85"/>
      <c r="J21" s="7"/>
      <c r="K21" s="7"/>
      <c r="L21" s="8"/>
      <c r="M21" s="14"/>
    </row>
    <row r="22" spans="2:13" x14ac:dyDescent="0.2">
      <c r="B22" s="242"/>
      <c r="C22" s="9"/>
      <c r="D22" s="10" t="s">
        <v>45</v>
      </c>
      <c r="E22" s="6" t="s">
        <v>8</v>
      </c>
      <c r="F22" s="74">
        <f>F4</f>
        <v>124.660906281804</v>
      </c>
      <c r="G22" s="74">
        <v>113.2941233</v>
      </c>
      <c r="H22" s="44">
        <v>121.8703</v>
      </c>
      <c r="I22" s="85">
        <v>123.510384995091</v>
      </c>
      <c r="J22" s="7"/>
      <c r="K22" s="7"/>
      <c r="L22" s="8"/>
      <c r="M22" s="11"/>
    </row>
    <row r="23" spans="2:13" x14ac:dyDescent="0.2">
      <c r="B23" s="242"/>
      <c r="C23" s="9"/>
      <c r="D23" s="10" t="s">
        <v>46</v>
      </c>
      <c r="E23" s="6" t="s">
        <v>8</v>
      </c>
      <c r="F23" s="74">
        <v>0</v>
      </c>
      <c r="G23" s="74">
        <v>0</v>
      </c>
      <c r="H23" s="44">
        <v>0</v>
      </c>
      <c r="I23" s="85"/>
      <c r="J23" s="7"/>
      <c r="K23" s="7"/>
      <c r="L23" s="8"/>
    </row>
    <row r="24" spans="2:13" x14ac:dyDescent="0.2">
      <c r="B24" s="242"/>
      <c r="C24" s="9" t="s">
        <v>47</v>
      </c>
      <c r="D24" s="10" t="s">
        <v>48</v>
      </c>
      <c r="E24" s="6" t="s">
        <v>8</v>
      </c>
      <c r="F24" s="74">
        <v>35.6206848836229</v>
      </c>
      <c r="G24" s="74">
        <v>31.961304859999998</v>
      </c>
      <c r="H24" s="44">
        <v>28.414210000000001</v>
      </c>
      <c r="I24" s="85">
        <v>31.296172095167801</v>
      </c>
      <c r="J24" s="7"/>
      <c r="K24" s="7"/>
      <c r="L24" s="8"/>
    </row>
    <row r="25" spans="2:13" x14ac:dyDescent="0.2">
      <c r="B25" s="242"/>
      <c r="C25" s="9" t="s">
        <v>49</v>
      </c>
      <c r="D25" s="10" t="s">
        <v>50</v>
      </c>
      <c r="E25" s="6" t="s">
        <v>8</v>
      </c>
      <c r="F25" s="74">
        <v>0</v>
      </c>
      <c r="G25" s="74" t="s">
        <v>231</v>
      </c>
      <c r="H25" s="44">
        <v>0</v>
      </c>
      <c r="I25" s="85"/>
      <c r="J25" s="7"/>
      <c r="K25" s="7"/>
      <c r="L25" s="8"/>
    </row>
    <row r="26" spans="2:13" x14ac:dyDescent="0.2">
      <c r="B26" s="242"/>
      <c r="C26" s="9" t="s">
        <v>51</v>
      </c>
      <c r="D26" s="10" t="s">
        <v>52</v>
      </c>
      <c r="E26" s="6" t="s">
        <v>8</v>
      </c>
      <c r="F26" s="74">
        <v>0</v>
      </c>
      <c r="G26" s="74">
        <v>0</v>
      </c>
      <c r="H26" s="44">
        <v>0</v>
      </c>
      <c r="I26" s="85"/>
      <c r="J26" s="7"/>
      <c r="K26" s="7"/>
      <c r="L26" s="8"/>
    </row>
    <row r="27" spans="2:13" x14ac:dyDescent="0.2">
      <c r="B27" s="242"/>
      <c r="C27" s="9" t="s">
        <v>53</v>
      </c>
      <c r="D27" s="10" t="s">
        <v>54</v>
      </c>
      <c r="E27" s="6" t="s">
        <v>13</v>
      </c>
      <c r="F27" s="75">
        <f>F29</f>
        <v>0.20194838809844151</v>
      </c>
      <c r="G27" s="75">
        <v>0.18308492400000001</v>
      </c>
      <c r="H27" s="45">
        <v>0.19742799999999999</v>
      </c>
      <c r="I27" s="86">
        <v>0.19290608489927</v>
      </c>
      <c r="J27" s="7"/>
      <c r="K27" s="7"/>
      <c r="L27" s="8"/>
    </row>
    <row r="28" spans="2:13" x14ac:dyDescent="0.2">
      <c r="B28" s="242"/>
      <c r="C28" s="9" t="s">
        <v>55</v>
      </c>
      <c r="D28" s="10" t="s">
        <v>56</v>
      </c>
      <c r="E28" s="6" t="s">
        <v>13</v>
      </c>
      <c r="F28" s="75">
        <v>0</v>
      </c>
      <c r="G28" s="75">
        <v>0</v>
      </c>
      <c r="H28" s="45">
        <v>0</v>
      </c>
      <c r="I28" s="86"/>
      <c r="J28" s="7"/>
      <c r="K28" s="7"/>
      <c r="L28" s="8"/>
    </row>
    <row r="29" spans="2:13" x14ac:dyDescent="0.2">
      <c r="B29" s="242"/>
      <c r="C29" s="9" t="s">
        <v>57</v>
      </c>
      <c r="D29" s="10" t="s">
        <v>58</v>
      </c>
      <c r="E29" s="6" t="s">
        <v>13</v>
      </c>
      <c r="F29" s="79">
        <f>F4/F95/8760*1000</f>
        <v>0.20194838809844151</v>
      </c>
      <c r="G29" s="79">
        <v>0.18</v>
      </c>
      <c r="H29" s="59">
        <v>0.24345800000000001</v>
      </c>
      <c r="I29" s="90">
        <v>0.153911203582522</v>
      </c>
      <c r="J29" s="7"/>
      <c r="K29" s="7"/>
      <c r="L29" s="8"/>
    </row>
    <row r="30" spans="2:13" ht="16" thickBot="1" x14ac:dyDescent="0.25">
      <c r="B30" s="243"/>
      <c r="C30" s="9" t="s">
        <v>59</v>
      </c>
      <c r="D30" s="15" t="s">
        <v>60</v>
      </c>
      <c r="E30" s="6" t="s">
        <v>13</v>
      </c>
      <c r="F30" s="75">
        <v>0</v>
      </c>
      <c r="G30" s="75">
        <v>0</v>
      </c>
      <c r="H30" s="45">
        <v>0</v>
      </c>
      <c r="I30" s="86"/>
      <c r="J30" s="7"/>
      <c r="K30" s="7"/>
      <c r="L30" s="8"/>
    </row>
    <row r="31" spans="2:13" x14ac:dyDescent="0.2">
      <c r="B31" s="236" t="s">
        <v>61</v>
      </c>
      <c r="C31" s="4" t="s">
        <v>62</v>
      </c>
      <c r="D31" s="10" t="s">
        <v>63</v>
      </c>
      <c r="E31" s="16" t="s">
        <v>16</v>
      </c>
      <c r="F31" s="49"/>
      <c r="G31" s="49">
        <v>0</v>
      </c>
      <c r="H31" s="49">
        <v>0</v>
      </c>
      <c r="I31" s="91"/>
      <c r="J31" s="7"/>
      <c r="K31" s="7"/>
      <c r="L31" s="8"/>
      <c r="M31" s="17"/>
    </row>
    <row r="32" spans="2:13" x14ac:dyDescent="0.2">
      <c r="B32" s="244"/>
      <c r="C32" s="9" t="s">
        <v>64</v>
      </c>
      <c r="D32" s="10" t="s">
        <v>65</v>
      </c>
      <c r="E32" s="6" t="s">
        <v>16</v>
      </c>
      <c r="F32" s="50">
        <f>F10</f>
        <v>50.058308339550003</v>
      </c>
      <c r="G32" s="50">
        <v>50.039633279999997</v>
      </c>
      <c r="H32" s="50">
        <v>49.912959999999998</v>
      </c>
      <c r="I32" s="92">
        <v>50.034956967179902</v>
      </c>
      <c r="J32" s="7"/>
      <c r="K32" s="7"/>
      <c r="L32" s="8"/>
      <c r="M32" s="17"/>
    </row>
    <row r="33" spans="2:13" x14ac:dyDescent="0.2">
      <c r="B33" s="244"/>
      <c r="C33" s="9" t="s">
        <v>66</v>
      </c>
      <c r="D33" s="10" t="s">
        <v>67</v>
      </c>
      <c r="E33" s="6" t="s">
        <v>16</v>
      </c>
      <c r="F33" s="35"/>
      <c r="G33" s="35">
        <v>0</v>
      </c>
      <c r="H33" s="35">
        <v>0</v>
      </c>
      <c r="I33" s="93"/>
      <c r="J33" s="7"/>
      <c r="K33" s="7"/>
      <c r="L33" s="8"/>
      <c r="M33" s="17"/>
    </row>
    <row r="34" spans="2:13" x14ac:dyDescent="0.2">
      <c r="B34" s="244"/>
      <c r="C34" s="9" t="s">
        <v>68</v>
      </c>
      <c r="D34" s="10" t="s">
        <v>69</v>
      </c>
      <c r="E34" s="6" t="s">
        <v>16</v>
      </c>
      <c r="F34" s="35"/>
      <c r="G34" s="35" t="s">
        <v>231</v>
      </c>
      <c r="H34" s="35">
        <v>0</v>
      </c>
      <c r="I34" s="93"/>
      <c r="J34" s="7"/>
      <c r="K34" s="7"/>
      <c r="L34" s="8"/>
    </row>
    <row r="35" spans="2:13" x14ac:dyDescent="0.2">
      <c r="B35" s="244"/>
      <c r="C35" s="9" t="s">
        <v>70</v>
      </c>
      <c r="D35" s="10" t="s">
        <v>71</v>
      </c>
      <c r="E35" s="6" t="s">
        <v>16</v>
      </c>
      <c r="F35" s="50"/>
      <c r="G35" s="50" t="s">
        <v>231</v>
      </c>
      <c r="H35" s="50">
        <v>0</v>
      </c>
      <c r="I35" s="92"/>
      <c r="J35" s="7"/>
      <c r="K35" s="7"/>
      <c r="L35" s="8"/>
    </row>
    <row r="36" spans="2:13" x14ac:dyDescent="0.2">
      <c r="B36" s="244"/>
      <c r="C36" s="9" t="s">
        <v>72</v>
      </c>
      <c r="D36" s="10" t="s">
        <v>73</v>
      </c>
      <c r="E36" s="6" t="s">
        <v>16</v>
      </c>
      <c r="F36" s="35"/>
      <c r="G36" s="35" t="s">
        <v>231</v>
      </c>
      <c r="H36" s="35">
        <v>0</v>
      </c>
      <c r="I36" s="93"/>
      <c r="J36" s="7"/>
      <c r="K36" s="7"/>
      <c r="L36" s="8"/>
    </row>
    <row r="37" spans="2:13" x14ac:dyDescent="0.2">
      <c r="B37" s="244"/>
      <c r="C37" s="9" t="s">
        <v>74</v>
      </c>
      <c r="D37" s="10" t="s">
        <v>75</v>
      </c>
      <c r="E37" s="6" t="s">
        <v>16</v>
      </c>
      <c r="F37" s="50"/>
      <c r="G37" s="50" t="s">
        <v>231</v>
      </c>
      <c r="H37" s="50">
        <v>0</v>
      </c>
      <c r="I37" s="92"/>
      <c r="J37" s="7"/>
      <c r="K37" s="7"/>
      <c r="L37" s="8"/>
    </row>
    <row r="38" spans="2:13" x14ac:dyDescent="0.2">
      <c r="B38" s="244"/>
      <c r="C38" s="9" t="s">
        <v>76</v>
      </c>
      <c r="D38" s="10" t="s">
        <v>77</v>
      </c>
      <c r="E38" s="6" t="s">
        <v>16</v>
      </c>
      <c r="F38" s="35"/>
      <c r="G38" s="35" t="s">
        <v>231</v>
      </c>
      <c r="H38" s="35">
        <v>0</v>
      </c>
      <c r="I38" s="93"/>
      <c r="J38" s="7"/>
      <c r="K38" s="7"/>
      <c r="L38" s="8"/>
    </row>
    <row r="39" spans="2:13" x14ac:dyDescent="0.2">
      <c r="B39" s="244"/>
      <c r="C39" s="9" t="s">
        <v>78</v>
      </c>
      <c r="D39" s="10" t="s">
        <v>79</v>
      </c>
      <c r="E39" s="6" t="s">
        <v>16</v>
      </c>
      <c r="F39" s="35"/>
      <c r="G39" s="35" t="s">
        <v>231</v>
      </c>
      <c r="H39" s="35">
        <v>0</v>
      </c>
      <c r="I39" s="93"/>
      <c r="J39" s="7"/>
      <c r="K39" s="7"/>
      <c r="L39" s="8"/>
      <c r="M39" s="12"/>
    </row>
    <row r="40" spans="2:13" x14ac:dyDescent="0.2">
      <c r="B40" s="244"/>
      <c r="C40" s="9" t="s">
        <v>80</v>
      </c>
      <c r="D40" s="10" t="s">
        <v>81</v>
      </c>
      <c r="E40" s="6" t="s">
        <v>16</v>
      </c>
      <c r="F40" s="50"/>
      <c r="G40" s="50" t="s">
        <v>231</v>
      </c>
      <c r="H40" s="50">
        <v>0</v>
      </c>
      <c r="I40" s="92"/>
      <c r="J40" s="7"/>
      <c r="K40" s="7"/>
      <c r="L40" s="8"/>
    </row>
    <row r="41" spans="2:13" x14ac:dyDescent="0.2">
      <c r="B41" s="244"/>
      <c r="C41" s="9" t="s">
        <v>82</v>
      </c>
      <c r="D41" s="10" t="s">
        <v>83</v>
      </c>
      <c r="E41" s="6" t="s">
        <v>16</v>
      </c>
      <c r="F41" s="50"/>
      <c r="G41" s="50" t="s">
        <v>231</v>
      </c>
      <c r="H41" s="50">
        <v>0</v>
      </c>
      <c r="I41" s="92"/>
      <c r="J41" s="7"/>
      <c r="K41" s="7"/>
      <c r="L41" s="8"/>
    </row>
    <row r="42" spans="2:13" x14ac:dyDescent="0.2">
      <c r="B42" s="244"/>
      <c r="C42" s="9" t="s">
        <v>84</v>
      </c>
      <c r="D42" s="10" t="s">
        <v>85</v>
      </c>
      <c r="E42" s="6" t="s">
        <v>16</v>
      </c>
      <c r="F42" s="50"/>
      <c r="G42" s="50" t="s">
        <v>231</v>
      </c>
      <c r="H42" s="50">
        <v>0</v>
      </c>
      <c r="I42" s="92"/>
      <c r="J42" s="7"/>
      <c r="K42" s="7"/>
      <c r="L42" s="8"/>
    </row>
    <row r="43" spans="2:13" x14ac:dyDescent="0.2">
      <c r="B43" s="244"/>
      <c r="C43" s="9" t="s">
        <v>86</v>
      </c>
      <c r="D43" s="10" t="s">
        <v>87</v>
      </c>
      <c r="E43" s="6" t="s">
        <v>25</v>
      </c>
      <c r="F43" s="51"/>
      <c r="G43" s="51" t="s">
        <v>231</v>
      </c>
      <c r="H43" s="51">
        <v>0</v>
      </c>
      <c r="I43" s="94"/>
      <c r="J43" s="7"/>
      <c r="K43" s="7"/>
      <c r="L43" s="8"/>
    </row>
    <row r="44" spans="2:13" x14ac:dyDescent="0.2">
      <c r="B44" s="244"/>
      <c r="C44" s="9" t="s">
        <v>88</v>
      </c>
      <c r="D44" s="10" t="s">
        <v>89</v>
      </c>
      <c r="E44" s="6" t="s">
        <v>25</v>
      </c>
      <c r="F44" s="51"/>
      <c r="G44" s="51" t="s">
        <v>231</v>
      </c>
      <c r="H44" s="51">
        <v>0</v>
      </c>
      <c r="I44" s="94"/>
      <c r="J44" s="7"/>
      <c r="K44" s="7"/>
      <c r="L44" s="8"/>
    </row>
    <row r="45" spans="2:13" x14ac:dyDescent="0.2">
      <c r="B45" s="244"/>
      <c r="C45" s="9" t="s">
        <v>90</v>
      </c>
      <c r="D45" s="10" t="s">
        <v>91</v>
      </c>
      <c r="E45" s="6" t="s">
        <v>16</v>
      </c>
      <c r="F45" s="50"/>
      <c r="G45" s="50">
        <v>0</v>
      </c>
      <c r="H45" s="50">
        <v>0</v>
      </c>
      <c r="I45" s="92"/>
      <c r="J45" s="7"/>
      <c r="K45" s="7"/>
      <c r="L45" s="8"/>
    </row>
    <row r="46" spans="2:13" x14ac:dyDescent="0.2">
      <c r="B46" s="244"/>
      <c r="C46" s="9" t="s">
        <v>92</v>
      </c>
      <c r="D46" s="10" t="s">
        <v>93</v>
      </c>
      <c r="E46" s="6" t="s">
        <v>16</v>
      </c>
      <c r="F46" s="50">
        <v>21.556080000000001</v>
      </c>
      <c r="G46" s="50">
        <v>21.601579910000002</v>
      </c>
      <c r="H46" s="50">
        <v>21.54599</v>
      </c>
      <c r="I46" s="92">
        <v>21.54598992</v>
      </c>
      <c r="J46" s="7"/>
      <c r="K46" s="7"/>
      <c r="L46" s="8"/>
    </row>
    <row r="47" spans="2:13" x14ac:dyDescent="0.2">
      <c r="B47" s="244"/>
      <c r="C47" s="9" t="s">
        <v>94</v>
      </c>
      <c r="D47" s="10" t="s">
        <v>95</v>
      </c>
      <c r="E47" s="6" t="s">
        <v>16</v>
      </c>
      <c r="F47" s="50">
        <v>16.167059999999999</v>
      </c>
      <c r="G47" s="50">
        <v>16.20118493</v>
      </c>
      <c r="H47" s="50">
        <v>16.159490000000002</v>
      </c>
      <c r="I47" s="92">
        <v>16.159492440000001</v>
      </c>
      <c r="J47" s="7"/>
      <c r="K47" s="7"/>
      <c r="L47" s="8"/>
    </row>
    <row r="48" spans="2:13" x14ac:dyDescent="0.2">
      <c r="B48" s="244"/>
      <c r="C48" s="9" t="s">
        <v>96</v>
      </c>
      <c r="D48" s="10" t="s">
        <v>97</v>
      </c>
      <c r="E48" s="6" t="s">
        <v>16</v>
      </c>
      <c r="F48" s="51">
        <v>0</v>
      </c>
      <c r="G48" s="51">
        <v>0</v>
      </c>
      <c r="H48" s="51">
        <v>0</v>
      </c>
      <c r="I48" s="94">
        <v>0</v>
      </c>
      <c r="J48" s="7"/>
      <c r="K48" s="7"/>
      <c r="L48" s="8"/>
      <c r="M48" s="12"/>
    </row>
    <row r="49" spans="2:15" x14ac:dyDescent="0.2">
      <c r="B49" s="244"/>
      <c r="C49" s="9" t="s">
        <v>98</v>
      </c>
      <c r="D49" s="10" t="s">
        <v>99</v>
      </c>
      <c r="E49" s="6" t="s">
        <v>16</v>
      </c>
      <c r="F49" s="50">
        <v>2.9609999999999999</v>
      </c>
      <c r="G49" s="50">
        <v>2.9648493</v>
      </c>
      <c r="H49" s="50">
        <v>2.9596140000000002</v>
      </c>
      <c r="I49" s="92">
        <v>2.9596140000000002</v>
      </c>
      <c r="J49" s="7"/>
      <c r="K49" s="7"/>
      <c r="L49" s="8"/>
    </row>
    <row r="50" spans="2:15" x14ac:dyDescent="0.2">
      <c r="B50" s="244"/>
      <c r="C50" s="9" t="s">
        <v>100</v>
      </c>
      <c r="D50" s="10" t="s">
        <v>101</v>
      </c>
      <c r="E50" s="6" t="s">
        <v>16</v>
      </c>
      <c r="F50" s="50">
        <v>3.96317771955</v>
      </c>
      <c r="G50" s="50">
        <v>3.9722292989999999</v>
      </c>
      <c r="H50" s="50">
        <v>3.9614029999999998</v>
      </c>
      <c r="I50" s="92">
        <v>3.9614027909999998</v>
      </c>
      <c r="J50" s="7"/>
      <c r="K50" s="7"/>
      <c r="L50" s="8"/>
    </row>
    <row r="51" spans="2:15" x14ac:dyDescent="0.2">
      <c r="B51" s="244"/>
      <c r="C51" s="9" t="s">
        <v>102</v>
      </c>
      <c r="D51" s="10" t="s">
        <v>103</v>
      </c>
      <c r="E51" s="6" t="s">
        <v>25</v>
      </c>
      <c r="F51" s="51">
        <f>0.769859999999999*1000</f>
        <v>769.85999999999899</v>
      </c>
      <c r="G51" s="51">
        <v>770.86081799999999</v>
      </c>
      <c r="H51" s="51">
        <v>769.49959999999999</v>
      </c>
      <c r="I51" s="94">
        <v>769.49964</v>
      </c>
      <c r="J51" s="7"/>
      <c r="K51" s="7"/>
      <c r="L51" s="8"/>
    </row>
    <row r="52" spans="2:15" x14ac:dyDescent="0.2">
      <c r="B52" s="244"/>
      <c r="C52" s="9" t="s">
        <v>104</v>
      </c>
      <c r="D52" s="10" t="s">
        <v>105</v>
      </c>
      <c r="E52" s="6" t="s">
        <v>16</v>
      </c>
      <c r="F52" s="50">
        <v>40.684139999999999</v>
      </c>
      <c r="G52" s="50">
        <v>40.767614139999999</v>
      </c>
      <c r="H52" s="50">
        <v>40.665100000000002</v>
      </c>
      <c r="I52" s="92">
        <v>40.66509636</v>
      </c>
      <c r="J52" s="7"/>
      <c r="K52" s="7"/>
      <c r="L52" s="8"/>
    </row>
    <row r="53" spans="2:15" x14ac:dyDescent="0.2">
      <c r="B53" s="244"/>
      <c r="C53" s="9" t="s">
        <v>106</v>
      </c>
      <c r="D53" s="10" t="s">
        <v>107</v>
      </c>
      <c r="E53" s="6" t="s">
        <v>16</v>
      </c>
      <c r="F53" s="50">
        <f>H53</f>
        <v>0</v>
      </c>
      <c r="G53" s="50" t="s">
        <v>231</v>
      </c>
      <c r="H53" s="50">
        <v>0</v>
      </c>
      <c r="I53" s="92"/>
      <c r="J53" s="7"/>
      <c r="K53" s="7"/>
      <c r="L53" s="8"/>
      <c r="M53" s="12"/>
    </row>
    <row r="54" spans="2:15" x14ac:dyDescent="0.2">
      <c r="B54" s="244"/>
      <c r="C54" s="9" t="s">
        <v>108</v>
      </c>
      <c r="D54" s="10" t="s">
        <v>109</v>
      </c>
      <c r="E54" s="6" t="s">
        <v>16</v>
      </c>
      <c r="F54" s="50">
        <f t="shared" ref="F54:F59" si="0">H54</f>
        <v>0</v>
      </c>
      <c r="G54" s="50" t="s">
        <v>231</v>
      </c>
      <c r="H54" s="50">
        <v>0</v>
      </c>
      <c r="I54" s="92"/>
      <c r="J54" s="7"/>
      <c r="K54" s="7"/>
      <c r="L54" s="8"/>
    </row>
    <row r="55" spans="2:15" x14ac:dyDescent="0.2">
      <c r="B55" s="244"/>
      <c r="C55" s="9" t="s">
        <v>110</v>
      </c>
      <c r="D55" s="10" t="s">
        <v>111</v>
      </c>
      <c r="E55" s="6" t="s">
        <v>16</v>
      </c>
      <c r="F55" s="50">
        <f t="shared" si="0"/>
        <v>0</v>
      </c>
      <c r="G55" s="50" t="s">
        <v>231</v>
      </c>
      <c r="H55" s="50">
        <v>0</v>
      </c>
      <c r="I55" s="92"/>
      <c r="J55" s="7"/>
      <c r="K55" s="7"/>
      <c r="L55" s="8"/>
      <c r="M55" s="11"/>
      <c r="O55" s="18"/>
    </row>
    <row r="56" spans="2:15" x14ac:dyDescent="0.2">
      <c r="B56" s="244"/>
      <c r="C56" s="9" t="s">
        <v>112</v>
      </c>
      <c r="D56" s="10" t="s">
        <v>113</v>
      </c>
      <c r="E56" s="6" t="s">
        <v>16</v>
      </c>
      <c r="F56" s="35">
        <f t="shared" si="0"/>
        <v>0</v>
      </c>
      <c r="G56" s="35">
        <v>0</v>
      </c>
      <c r="H56" s="35">
        <v>0</v>
      </c>
      <c r="I56" s="93"/>
      <c r="J56" s="7"/>
      <c r="K56" s="7"/>
      <c r="L56" s="8"/>
      <c r="M56" s="19"/>
    </row>
    <row r="57" spans="2:15" x14ac:dyDescent="0.2">
      <c r="B57" s="244"/>
      <c r="C57" s="9" t="s">
        <v>114</v>
      </c>
      <c r="D57" s="10" t="s">
        <v>115</v>
      </c>
      <c r="E57" s="6" t="s">
        <v>25</v>
      </c>
      <c r="F57" s="35">
        <f t="shared" si="0"/>
        <v>0</v>
      </c>
      <c r="G57" s="35" t="s">
        <v>231</v>
      </c>
      <c r="H57" s="35">
        <v>0</v>
      </c>
      <c r="I57" s="93"/>
      <c r="J57" s="7"/>
      <c r="K57" s="7"/>
      <c r="L57" s="8"/>
    </row>
    <row r="58" spans="2:15" x14ac:dyDescent="0.2">
      <c r="B58" s="244"/>
      <c r="C58" s="9" t="s">
        <v>116</v>
      </c>
      <c r="D58" s="10" t="s">
        <v>117</v>
      </c>
      <c r="E58" s="20" t="s">
        <v>25</v>
      </c>
      <c r="F58" s="50">
        <f t="shared" si="0"/>
        <v>0</v>
      </c>
      <c r="G58" s="50" t="s">
        <v>231</v>
      </c>
      <c r="H58" s="50">
        <v>0</v>
      </c>
      <c r="I58" s="92"/>
      <c r="J58" s="7"/>
      <c r="K58" s="7"/>
      <c r="L58" s="8"/>
      <c r="M58" s="13"/>
    </row>
    <row r="59" spans="2:15" x14ac:dyDescent="0.2">
      <c r="B59" s="244"/>
      <c r="C59" s="9" t="s">
        <v>118</v>
      </c>
      <c r="D59" s="10" t="s">
        <v>119</v>
      </c>
      <c r="E59" s="6" t="s">
        <v>16</v>
      </c>
      <c r="F59" s="50">
        <f t="shared" si="0"/>
        <v>0</v>
      </c>
      <c r="G59" s="50">
        <v>0</v>
      </c>
      <c r="H59" s="50">
        <v>0</v>
      </c>
      <c r="I59" s="92"/>
      <c r="J59" s="7"/>
      <c r="K59" s="7"/>
      <c r="L59" s="8"/>
    </row>
    <row r="60" spans="2:15" ht="16" thickBot="1" x14ac:dyDescent="0.25">
      <c r="B60" s="244"/>
      <c r="C60" s="9" t="s">
        <v>120</v>
      </c>
      <c r="D60" s="10" t="s">
        <v>121</v>
      </c>
      <c r="E60" s="6" t="s">
        <v>122</v>
      </c>
      <c r="F60" s="50"/>
      <c r="G60" s="50">
        <v>4.1074659609999999</v>
      </c>
      <c r="H60" s="50">
        <v>4.097658</v>
      </c>
      <c r="I60" s="92">
        <v>4.1057899999999998</v>
      </c>
      <c r="J60" s="7"/>
      <c r="K60" s="7"/>
      <c r="L60" s="8"/>
      <c r="M60" s="12"/>
    </row>
    <row r="61" spans="2:15" x14ac:dyDescent="0.2">
      <c r="B61" s="236" t="s">
        <v>123</v>
      </c>
      <c r="C61" s="4" t="s">
        <v>124</v>
      </c>
      <c r="D61" s="5" t="s">
        <v>125</v>
      </c>
      <c r="E61" s="16" t="s">
        <v>126</v>
      </c>
      <c r="F61" s="52"/>
      <c r="G61" s="52" t="s">
        <v>231</v>
      </c>
      <c r="H61" s="52">
        <v>0</v>
      </c>
      <c r="I61" s="95"/>
      <c r="J61" s="7"/>
      <c r="K61" s="7"/>
      <c r="L61" s="8"/>
    </row>
    <row r="62" spans="2:15" x14ac:dyDescent="0.2">
      <c r="B62" s="244"/>
      <c r="C62" s="9" t="s">
        <v>127</v>
      </c>
      <c r="D62" s="10" t="s">
        <v>128</v>
      </c>
      <c r="E62" s="6" t="s">
        <v>129</v>
      </c>
      <c r="F62" s="80"/>
      <c r="G62" s="80"/>
      <c r="H62" s="53">
        <v>0</v>
      </c>
      <c r="I62" s="96"/>
      <c r="J62" s="7"/>
      <c r="K62" s="7"/>
      <c r="L62" s="8"/>
      <c r="M62" s="21"/>
    </row>
    <row r="63" spans="2:15" x14ac:dyDescent="0.2">
      <c r="B63" s="244"/>
      <c r="C63" s="9" t="s">
        <v>130</v>
      </c>
      <c r="D63" s="10" t="s">
        <v>131</v>
      </c>
      <c r="E63" s="6" t="s">
        <v>129</v>
      </c>
      <c r="F63" s="51"/>
      <c r="G63" s="51"/>
      <c r="H63" s="51">
        <v>0</v>
      </c>
      <c r="I63" s="94"/>
      <c r="J63" s="7"/>
      <c r="K63" s="7"/>
      <c r="L63" s="8"/>
      <c r="M63" s="13"/>
    </row>
    <row r="64" spans="2:15" x14ac:dyDescent="0.2">
      <c r="B64" s="244"/>
      <c r="C64" s="9" t="s">
        <v>132</v>
      </c>
      <c r="D64" s="10" t="s">
        <v>133</v>
      </c>
      <c r="E64" s="6" t="s">
        <v>13</v>
      </c>
      <c r="F64" s="81"/>
      <c r="G64" s="81"/>
      <c r="H64" s="54">
        <v>0</v>
      </c>
      <c r="I64" s="97"/>
      <c r="J64" s="7"/>
      <c r="K64" s="7"/>
      <c r="L64" s="8"/>
    </row>
    <row r="65" spans="2:13" x14ac:dyDescent="0.2">
      <c r="B65" s="244"/>
      <c r="C65" s="9" t="s">
        <v>134</v>
      </c>
      <c r="D65" s="10" t="s">
        <v>135</v>
      </c>
      <c r="E65" s="6" t="s">
        <v>136</v>
      </c>
      <c r="F65" s="34"/>
      <c r="G65" s="34"/>
      <c r="H65" s="34"/>
      <c r="I65" s="98"/>
      <c r="J65" s="7"/>
      <c r="K65" s="7"/>
      <c r="L65" s="8"/>
    </row>
    <row r="66" spans="2:13" x14ac:dyDescent="0.2">
      <c r="B66" s="244"/>
      <c r="C66" s="9" t="s">
        <v>137</v>
      </c>
      <c r="D66" s="10" t="s">
        <v>138</v>
      </c>
      <c r="E66" s="6" t="s">
        <v>136</v>
      </c>
      <c r="F66" s="51"/>
      <c r="G66" s="51"/>
      <c r="H66" s="51">
        <v>0</v>
      </c>
      <c r="I66" s="94"/>
      <c r="J66" s="7"/>
      <c r="K66" s="7"/>
      <c r="L66" s="8"/>
    </row>
    <row r="67" spans="2:13" x14ac:dyDescent="0.2">
      <c r="B67" s="244"/>
      <c r="C67" s="9" t="s">
        <v>139</v>
      </c>
      <c r="D67" s="10" t="s">
        <v>140</v>
      </c>
      <c r="E67" s="6" t="s">
        <v>141</v>
      </c>
      <c r="F67" s="50"/>
      <c r="G67" s="50"/>
      <c r="H67" s="50">
        <v>0</v>
      </c>
      <c r="I67" s="92"/>
      <c r="J67" s="7"/>
      <c r="K67" s="7"/>
      <c r="L67" s="8"/>
    </row>
    <row r="68" spans="2:13" x14ac:dyDescent="0.2">
      <c r="B68" s="244"/>
      <c r="C68" s="9" t="s">
        <v>142</v>
      </c>
      <c r="D68" s="40" t="s">
        <v>143</v>
      </c>
      <c r="E68" s="6" t="s">
        <v>126</v>
      </c>
      <c r="F68" s="55"/>
      <c r="G68" s="55"/>
      <c r="H68" s="55">
        <v>0</v>
      </c>
      <c r="I68" s="99"/>
      <c r="J68" s="7"/>
      <c r="K68" s="7"/>
      <c r="L68" s="8"/>
    </row>
    <row r="69" spans="2:13" x14ac:dyDescent="0.2">
      <c r="B69" s="244"/>
      <c r="C69" s="9" t="s">
        <v>144</v>
      </c>
      <c r="D69" s="10" t="s">
        <v>145</v>
      </c>
      <c r="E69" s="6" t="s">
        <v>141</v>
      </c>
      <c r="F69" s="34"/>
      <c r="G69" s="34"/>
      <c r="H69" s="34"/>
      <c r="I69" s="98"/>
      <c r="J69" s="7"/>
      <c r="K69" s="7"/>
      <c r="L69" s="8"/>
    </row>
    <row r="70" spans="2:13" x14ac:dyDescent="0.2">
      <c r="B70" s="244"/>
      <c r="C70" s="9" t="s">
        <v>146</v>
      </c>
      <c r="D70" s="10" t="s">
        <v>147</v>
      </c>
      <c r="E70" s="6" t="s">
        <v>141</v>
      </c>
      <c r="F70" s="34"/>
      <c r="G70" s="34"/>
      <c r="H70" s="34"/>
      <c r="I70" s="98"/>
      <c r="J70" s="7"/>
      <c r="K70" s="7"/>
      <c r="L70" s="8"/>
      <c r="M70" s="22"/>
    </row>
    <row r="71" spans="2:13" x14ac:dyDescent="0.2">
      <c r="B71" s="244"/>
      <c r="C71" s="9" t="s">
        <v>148</v>
      </c>
      <c r="D71" s="10" t="s">
        <v>149</v>
      </c>
      <c r="E71" s="6" t="s">
        <v>13</v>
      </c>
      <c r="F71" s="81"/>
      <c r="G71" s="81"/>
      <c r="H71" s="54">
        <v>0</v>
      </c>
      <c r="I71" s="97"/>
      <c r="J71" s="7"/>
      <c r="K71" s="7"/>
      <c r="L71" s="8"/>
    </row>
    <row r="72" spans="2:13" x14ac:dyDescent="0.2">
      <c r="B72" s="244"/>
      <c r="C72" s="9" t="s">
        <v>150</v>
      </c>
      <c r="D72" s="10" t="s">
        <v>151</v>
      </c>
      <c r="E72" s="6" t="s">
        <v>13</v>
      </c>
      <c r="F72" s="34"/>
      <c r="G72" s="34"/>
      <c r="H72" s="34"/>
      <c r="I72" s="98"/>
      <c r="J72" s="7"/>
      <c r="K72" s="7"/>
      <c r="L72" s="8"/>
    </row>
    <row r="73" spans="2:13" x14ac:dyDescent="0.2">
      <c r="B73" s="244"/>
      <c r="C73" s="9" t="s">
        <v>152</v>
      </c>
      <c r="D73" s="10" t="s">
        <v>153</v>
      </c>
      <c r="E73" s="6" t="s">
        <v>129</v>
      </c>
      <c r="F73" s="50"/>
      <c r="G73" s="50"/>
      <c r="H73" s="50">
        <v>0</v>
      </c>
      <c r="I73" s="92"/>
      <c r="J73" s="7"/>
      <c r="K73" s="7"/>
      <c r="L73" s="8"/>
    </row>
    <row r="74" spans="2:13" x14ac:dyDescent="0.2">
      <c r="B74" s="244"/>
      <c r="C74" s="9" t="s">
        <v>154</v>
      </c>
      <c r="D74" s="10" t="s">
        <v>155</v>
      </c>
      <c r="E74" s="6" t="s">
        <v>156</v>
      </c>
      <c r="F74" s="34"/>
      <c r="G74" s="34">
        <v>0</v>
      </c>
      <c r="H74" s="34"/>
      <c r="I74" s="98"/>
      <c r="J74" s="7"/>
      <c r="K74" s="7"/>
      <c r="L74" s="8"/>
      <c r="M74" s="13"/>
    </row>
    <row r="75" spans="2:13" x14ac:dyDescent="0.2">
      <c r="B75" s="244"/>
      <c r="C75" s="9" t="s">
        <v>157</v>
      </c>
      <c r="D75" s="10" t="s">
        <v>158</v>
      </c>
      <c r="E75" s="6" t="s">
        <v>159</v>
      </c>
      <c r="F75" s="34"/>
      <c r="G75" s="34"/>
      <c r="H75" s="34"/>
      <c r="I75" s="98"/>
      <c r="J75" s="7"/>
      <c r="K75" s="7"/>
      <c r="L75" s="8"/>
    </row>
    <row r="76" spans="2:13" x14ac:dyDescent="0.2">
      <c r="B76" s="244"/>
      <c r="C76" s="9" t="s">
        <v>160</v>
      </c>
      <c r="D76" s="23" t="s">
        <v>160</v>
      </c>
      <c r="E76" s="6" t="s">
        <v>159</v>
      </c>
      <c r="F76" s="34"/>
      <c r="G76" s="34"/>
      <c r="H76" s="34"/>
      <c r="I76" s="98"/>
      <c r="J76" s="7"/>
      <c r="K76" s="7"/>
      <c r="L76" s="8"/>
    </row>
    <row r="77" spans="2:13" x14ac:dyDescent="0.2">
      <c r="B77" s="244"/>
      <c r="C77" s="9" t="s">
        <v>161</v>
      </c>
      <c r="D77" s="10" t="s">
        <v>162</v>
      </c>
      <c r="E77" s="6" t="s">
        <v>126</v>
      </c>
      <c r="F77" s="34"/>
      <c r="G77" s="34"/>
      <c r="H77" s="34">
        <v>0</v>
      </c>
      <c r="I77" s="98"/>
      <c r="J77" s="7"/>
      <c r="K77" s="7"/>
      <c r="L77" s="8"/>
    </row>
    <row r="78" spans="2:13" x14ac:dyDescent="0.2">
      <c r="B78" s="244"/>
      <c r="C78" s="9" t="s">
        <v>163</v>
      </c>
      <c r="D78" s="10" t="s">
        <v>164</v>
      </c>
      <c r="E78" s="6" t="s">
        <v>13</v>
      </c>
      <c r="F78" s="82"/>
      <c r="G78" s="82"/>
      <c r="H78" s="56">
        <v>0.95</v>
      </c>
      <c r="I78" s="100"/>
      <c r="J78" s="7"/>
      <c r="K78" s="7"/>
      <c r="L78" s="8"/>
    </row>
    <row r="79" spans="2:13" x14ac:dyDescent="0.2">
      <c r="B79" s="244"/>
      <c r="C79" s="9" t="s">
        <v>165</v>
      </c>
      <c r="D79" s="10" t="s">
        <v>166</v>
      </c>
      <c r="E79" s="6" t="s">
        <v>156</v>
      </c>
      <c r="F79" s="34"/>
      <c r="G79" s="34">
        <v>0</v>
      </c>
      <c r="H79" s="34"/>
      <c r="I79" s="98"/>
      <c r="J79" s="7"/>
      <c r="K79" s="7"/>
      <c r="L79" s="8"/>
    </row>
    <row r="80" spans="2:13" x14ac:dyDescent="0.2">
      <c r="B80" s="244"/>
      <c r="C80" s="9" t="s">
        <v>167</v>
      </c>
      <c r="D80" s="10" t="s">
        <v>168</v>
      </c>
      <c r="E80" s="6" t="s">
        <v>126</v>
      </c>
      <c r="F80" s="34"/>
      <c r="G80" s="34">
        <v>0</v>
      </c>
      <c r="H80" s="34">
        <v>0</v>
      </c>
      <c r="I80" s="98"/>
      <c r="J80" s="7"/>
      <c r="K80" s="7"/>
      <c r="L80" s="8"/>
    </row>
    <row r="81" spans="2:13" x14ac:dyDescent="0.2">
      <c r="B81" s="244"/>
      <c r="C81" s="9" t="s">
        <v>169</v>
      </c>
      <c r="D81" s="10" t="s">
        <v>170</v>
      </c>
      <c r="E81" s="6" t="s">
        <v>126</v>
      </c>
      <c r="F81" s="34"/>
      <c r="G81" s="34">
        <v>0</v>
      </c>
      <c r="H81" s="34"/>
      <c r="I81" s="98"/>
      <c r="J81" s="7"/>
      <c r="K81" s="7"/>
      <c r="L81" s="8"/>
    </row>
    <row r="82" spans="2:13" x14ac:dyDescent="0.2">
      <c r="B82" s="244"/>
      <c r="C82" s="9" t="s">
        <v>171</v>
      </c>
      <c r="D82" s="10" t="s">
        <v>172</v>
      </c>
      <c r="E82" s="6" t="s">
        <v>173</v>
      </c>
      <c r="F82" s="34"/>
      <c r="G82" s="34"/>
      <c r="H82" s="34">
        <v>0</v>
      </c>
      <c r="I82" s="98"/>
      <c r="J82" s="7"/>
      <c r="K82" s="7"/>
      <c r="L82" s="8"/>
    </row>
    <row r="83" spans="2:13" x14ac:dyDescent="0.2">
      <c r="B83" s="244"/>
      <c r="C83" s="9" t="s">
        <v>174</v>
      </c>
      <c r="D83" s="10" t="s">
        <v>175</v>
      </c>
      <c r="E83" s="6" t="s">
        <v>141</v>
      </c>
      <c r="F83" s="34"/>
      <c r="G83" s="34"/>
      <c r="H83" s="34"/>
      <c r="I83" s="98"/>
      <c r="J83" s="7"/>
      <c r="K83" s="7"/>
      <c r="L83" s="8"/>
    </row>
    <row r="84" spans="2:13" x14ac:dyDescent="0.2">
      <c r="B84" s="244"/>
      <c r="C84" s="9" t="s">
        <v>176</v>
      </c>
      <c r="D84" s="10" t="s">
        <v>177</v>
      </c>
      <c r="E84" s="6" t="s">
        <v>141</v>
      </c>
      <c r="F84" s="34"/>
      <c r="G84" s="34"/>
      <c r="H84" s="34"/>
      <c r="I84" s="98"/>
      <c r="J84" s="7"/>
      <c r="K84" s="7"/>
      <c r="L84" s="8"/>
      <c r="M84" s="33"/>
    </row>
    <row r="85" spans="2:13" x14ac:dyDescent="0.2">
      <c r="B85" s="244"/>
      <c r="C85" s="9" t="s">
        <v>178</v>
      </c>
      <c r="D85" s="10" t="s">
        <v>179</v>
      </c>
      <c r="E85" s="6" t="s">
        <v>129</v>
      </c>
      <c r="F85" s="34"/>
      <c r="G85" s="34"/>
      <c r="H85" s="34"/>
      <c r="I85" s="98"/>
      <c r="J85" s="7"/>
      <c r="K85" s="7"/>
      <c r="L85" s="8"/>
    </row>
    <row r="86" spans="2:13" x14ac:dyDescent="0.2">
      <c r="B86" s="244"/>
      <c r="C86" s="9" t="s">
        <v>180</v>
      </c>
      <c r="D86" s="40" t="s">
        <v>181</v>
      </c>
      <c r="E86" s="6" t="s">
        <v>182</v>
      </c>
      <c r="F86" s="35"/>
      <c r="G86" s="35"/>
      <c r="H86" s="35">
        <v>0</v>
      </c>
      <c r="I86" s="93"/>
      <c r="J86" s="7"/>
      <c r="K86" s="7"/>
      <c r="L86" s="8"/>
    </row>
    <row r="87" spans="2:13" x14ac:dyDescent="0.2">
      <c r="B87" s="244"/>
      <c r="C87" s="9" t="s">
        <v>183</v>
      </c>
      <c r="D87" s="10" t="s">
        <v>184</v>
      </c>
      <c r="E87" s="6" t="s">
        <v>126</v>
      </c>
      <c r="F87" s="50"/>
      <c r="G87" s="50"/>
      <c r="H87" s="50">
        <v>0</v>
      </c>
      <c r="I87" s="92"/>
      <c r="J87" s="7"/>
      <c r="K87" s="7"/>
      <c r="L87" s="8"/>
      <c r="M87" s="12"/>
    </row>
    <row r="88" spans="2:13" x14ac:dyDescent="0.2">
      <c r="B88" s="244"/>
      <c r="C88" s="9" t="s">
        <v>36</v>
      </c>
      <c r="D88" s="10" t="s">
        <v>185</v>
      </c>
      <c r="E88" s="6" t="s">
        <v>13</v>
      </c>
      <c r="F88" s="83"/>
      <c r="G88" s="83"/>
      <c r="H88" s="57">
        <v>0</v>
      </c>
      <c r="I88" s="101"/>
      <c r="J88" s="7"/>
      <c r="K88" s="7"/>
      <c r="L88" s="8"/>
      <c r="M88" s="12"/>
    </row>
    <row r="89" spans="2:13" x14ac:dyDescent="0.2">
      <c r="B89" s="244"/>
      <c r="C89" s="9" t="s">
        <v>186</v>
      </c>
      <c r="D89" s="10" t="s">
        <v>187</v>
      </c>
      <c r="E89" s="6" t="s">
        <v>159</v>
      </c>
      <c r="F89" s="34"/>
      <c r="G89" s="34"/>
      <c r="H89" s="34"/>
      <c r="I89" s="98"/>
      <c r="J89" s="7"/>
      <c r="K89" s="7"/>
      <c r="L89" s="8"/>
    </row>
    <row r="90" spans="2:13" x14ac:dyDescent="0.2">
      <c r="B90" s="244"/>
      <c r="C90" s="9" t="s">
        <v>188</v>
      </c>
      <c r="D90" s="10" t="s">
        <v>189</v>
      </c>
      <c r="E90" s="6" t="s">
        <v>159</v>
      </c>
      <c r="F90" s="34"/>
      <c r="G90" s="34"/>
      <c r="H90" s="34">
        <v>550</v>
      </c>
      <c r="I90" s="98"/>
      <c r="J90" s="7"/>
      <c r="K90" s="7"/>
      <c r="L90" s="8"/>
    </row>
    <row r="91" spans="2:13" x14ac:dyDescent="0.2">
      <c r="B91" s="244"/>
      <c r="C91" s="9" t="s">
        <v>190</v>
      </c>
      <c r="D91" s="10" t="s">
        <v>191</v>
      </c>
      <c r="E91" s="6" t="s">
        <v>159</v>
      </c>
      <c r="F91" s="34"/>
      <c r="G91" s="34"/>
      <c r="H91" s="34">
        <v>290</v>
      </c>
      <c r="I91" s="98"/>
      <c r="J91" s="7"/>
      <c r="K91" s="7"/>
      <c r="L91" s="8"/>
    </row>
    <row r="92" spans="2:13" x14ac:dyDescent="0.2">
      <c r="B92" s="244"/>
      <c r="C92" s="9" t="s">
        <v>192</v>
      </c>
      <c r="D92" s="10" t="s">
        <v>193</v>
      </c>
      <c r="E92" s="6" t="s">
        <v>159</v>
      </c>
      <c r="F92" s="34"/>
      <c r="G92" s="34"/>
      <c r="H92" s="34">
        <v>30</v>
      </c>
      <c r="I92" s="98"/>
      <c r="J92" s="7"/>
      <c r="K92" s="7"/>
      <c r="L92" s="8"/>
    </row>
    <row r="93" spans="2:13" x14ac:dyDescent="0.2">
      <c r="B93" s="244"/>
      <c r="C93" s="9" t="s">
        <v>194</v>
      </c>
      <c r="D93" s="10" t="s">
        <v>195</v>
      </c>
      <c r="E93" s="6" t="s">
        <v>126</v>
      </c>
      <c r="F93" s="50"/>
      <c r="G93" s="50"/>
      <c r="H93" s="50">
        <v>0</v>
      </c>
      <c r="I93" s="92"/>
      <c r="J93" s="7"/>
      <c r="K93" s="7"/>
      <c r="L93" s="8"/>
    </row>
    <row r="94" spans="2:13" x14ac:dyDescent="0.2">
      <c r="B94" s="244"/>
      <c r="C94" s="9" t="s">
        <v>196</v>
      </c>
      <c r="D94" s="40" t="s">
        <v>197</v>
      </c>
      <c r="E94" s="6" t="s">
        <v>126</v>
      </c>
      <c r="F94" s="50">
        <v>0</v>
      </c>
      <c r="G94" s="50">
        <v>0</v>
      </c>
      <c r="H94" s="50">
        <v>0</v>
      </c>
      <c r="I94" s="92"/>
      <c r="J94" s="7"/>
      <c r="K94" s="7"/>
      <c r="L94" s="8"/>
    </row>
    <row r="95" spans="2:13" x14ac:dyDescent="0.2">
      <c r="B95" s="244"/>
      <c r="C95" s="9" t="s">
        <v>198</v>
      </c>
      <c r="D95" s="40" t="s">
        <v>199</v>
      </c>
      <c r="E95" s="6" t="s">
        <v>126</v>
      </c>
      <c r="F95" s="35">
        <f>I95</f>
        <v>70.466999999999999</v>
      </c>
      <c r="G95" s="35">
        <v>70.591650000000001</v>
      </c>
      <c r="H95" s="35">
        <v>70.466999999999999</v>
      </c>
      <c r="I95" s="93">
        <v>70.466999999999999</v>
      </c>
      <c r="J95" s="7"/>
      <c r="K95" s="7"/>
      <c r="L95" s="8"/>
    </row>
    <row r="96" spans="2:13" x14ac:dyDescent="0.2">
      <c r="B96" s="244"/>
      <c r="C96" s="9" t="s">
        <v>200</v>
      </c>
      <c r="D96" s="10" t="s">
        <v>201</v>
      </c>
      <c r="E96" s="6" t="s">
        <v>126</v>
      </c>
      <c r="F96" s="35">
        <v>91.65</v>
      </c>
      <c r="G96" s="35">
        <v>91.843451999999999</v>
      </c>
      <c r="H96" s="35">
        <v>91.607100000000003</v>
      </c>
      <c r="I96" s="93">
        <v>91.607100000000003</v>
      </c>
      <c r="J96" s="7"/>
      <c r="K96" s="7"/>
      <c r="L96" s="8"/>
    </row>
    <row r="97" spans="2:12" x14ac:dyDescent="0.2">
      <c r="B97" s="244"/>
      <c r="C97" s="9" t="s">
        <v>202</v>
      </c>
      <c r="D97" s="10" t="s">
        <v>203</v>
      </c>
      <c r="E97" s="6" t="s">
        <v>136</v>
      </c>
      <c r="F97" s="34">
        <f t="shared" ref="F97:F109" si="1">I97</f>
        <v>1.3</v>
      </c>
      <c r="G97" s="50">
        <v>1.301052632</v>
      </c>
      <c r="H97" s="34">
        <v>1.3</v>
      </c>
      <c r="I97" s="98">
        <v>1.3</v>
      </c>
      <c r="J97" s="7"/>
      <c r="K97" s="7"/>
      <c r="L97" s="8"/>
    </row>
    <row r="98" spans="2:12" x14ac:dyDescent="0.2">
      <c r="B98" s="244"/>
      <c r="C98" s="9" t="s">
        <v>204</v>
      </c>
      <c r="D98" s="10" t="s">
        <v>205</v>
      </c>
      <c r="E98" s="6" t="s">
        <v>129</v>
      </c>
      <c r="F98" s="80">
        <v>509166.66666666599</v>
      </c>
      <c r="G98" s="80">
        <v>510241.4</v>
      </c>
      <c r="H98" s="53">
        <v>508928.3</v>
      </c>
      <c r="I98" s="96">
        <v>508928.3333</v>
      </c>
      <c r="J98" s="7"/>
      <c r="K98" s="7"/>
      <c r="L98" s="8"/>
    </row>
    <row r="99" spans="2:12" x14ac:dyDescent="0.2">
      <c r="B99" s="244"/>
      <c r="C99" s="9" t="s">
        <v>206</v>
      </c>
      <c r="D99" s="10" t="s">
        <v>207</v>
      </c>
      <c r="E99" s="6" t="s">
        <v>129</v>
      </c>
      <c r="F99" s="80">
        <v>1909376.25</v>
      </c>
      <c r="G99" s="80">
        <v>1913405.25</v>
      </c>
      <c r="H99" s="53">
        <v>1908481</v>
      </c>
      <c r="I99" s="96">
        <v>1908481.25</v>
      </c>
      <c r="J99" s="7"/>
      <c r="K99" s="7"/>
      <c r="L99" s="8"/>
    </row>
    <row r="100" spans="2:12" x14ac:dyDescent="0.2">
      <c r="B100" s="244"/>
      <c r="C100" s="9" t="s">
        <v>208</v>
      </c>
      <c r="D100" s="10" t="s">
        <v>209</v>
      </c>
      <c r="E100" s="6" t="s">
        <v>136</v>
      </c>
      <c r="F100" s="34">
        <f t="shared" si="1"/>
        <v>0.4</v>
      </c>
      <c r="G100" s="34">
        <v>0.4</v>
      </c>
      <c r="H100" s="34">
        <v>0.4</v>
      </c>
      <c r="I100" s="98">
        <v>0.4</v>
      </c>
      <c r="J100" s="7"/>
      <c r="K100" s="7"/>
      <c r="L100" s="8"/>
    </row>
    <row r="101" spans="2:12" x14ac:dyDescent="0.2">
      <c r="B101" s="244"/>
      <c r="C101" s="9" t="s">
        <v>210</v>
      </c>
      <c r="D101" s="10" t="s">
        <v>211</v>
      </c>
      <c r="E101" s="6" t="s">
        <v>212</v>
      </c>
      <c r="F101" s="34">
        <f t="shared" si="1"/>
        <v>37</v>
      </c>
      <c r="G101" s="34">
        <v>37</v>
      </c>
      <c r="H101" s="34">
        <v>37</v>
      </c>
      <c r="I101" s="98">
        <v>37</v>
      </c>
      <c r="J101" s="7"/>
      <c r="K101" s="7"/>
      <c r="L101" s="8"/>
    </row>
    <row r="102" spans="2:12" x14ac:dyDescent="0.2">
      <c r="B102" s="244"/>
      <c r="C102" s="9" t="s">
        <v>213</v>
      </c>
      <c r="D102" s="10" t="s">
        <v>214</v>
      </c>
      <c r="E102" s="6" t="s">
        <v>212</v>
      </c>
      <c r="F102" s="34">
        <f t="shared" si="1"/>
        <v>0</v>
      </c>
      <c r="G102" s="34">
        <v>0</v>
      </c>
      <c r="H102" s="34">
        <v>0</v>
      </c>
      <c r="I102" s="98">
        <v>0</v>
      </c>
      <c r="J102" s="7"/>
      <c r="K102" s="7"/>
      <c r="L102" s="8"/>
    </row>
    <row r="103" spans="2:12" x14ac:dyDescent="0.2">
      <c r="B103" s="244"/>
      <c r="C103" s="9" t="s">
        <v>215</v>
      </c>
      <c r="D103" s="10" t="s">
        <v>216</v>
      </c>
      <c r="E103" s="6" t="s">
        <v>13</v>
      </c>
      <c r="F103" s="82">
        <f t="shared" si="1"/>
        <v>0.95</v>
      </c>
      <c r="G103" s="82">
        <v>0.95</v>
      </c>
      <c r="H103" s="56">
        <v>95</v>
      </c>
      <c r="I103" s="100">
        <v>0.95</v>
      </c>
      <c r="J103" s="7"/>
      <c r="K103" s="7"/>
      <c r="L103" s="8"/>
    </row>
    <row r="104" spans="2:12" x14ac:dyDescent="0.2">
      <c r="B104" s="244"/>
      <c r="C104" s="9" t="s">
        <v>217</v>
      </c>
      <c r="D104" s="10" t="s">
        <v>218</v>
      </c>
      <c r="E104" s="6" t="s">
        <v>126</v>
      </c>
      <c r="F104" s="34">
        <f t="shared" si="1"/>
        <v>50</v>
      </c>
      <c r="G104" s="34">
        <v>50</v>
      </c>
      <c r="H104" s="34">
        <v>50</v>
      </c>
      <c r="I104" s="98">
        <v>50</v>
      </c>
      <c r="J104" s="7"/>
      <c r="K104" s="7"/>
      <c r="L104" s="8"/>
    </row>
    <row r="105" spans="2:12" x14ac:dyDescent="0.2">
      <c r="B105" s="244"/>
      <c r="C105" s="9" t="s">
        <v>219</v>
      </c>
      <c r="D105" s="10" t="s">
        <v>220</v>
      </c>
      <c r="E105" s="6" t="s">
        <v>173</v>
      </c>
      <c r="F105" s="34">
        <f t="shared" si="1"/>
        <v>0</v>
      </c>
      <c r="G105" s="34"/>
      <c r="H105" s="34">
        <v>0</v>
      </c>
      <c r="I105" s="98"/>
      <c r="J105" s="7"/>
      <c r="K105" s="7"/>
      <c r="L105" s="8"/>
    </row>
    <row r="106" spans="2:12" x14ac:dyDescent="0.2">
      <c r="B106" s="244"/>
      <c r="C106" s="9" t="s">
        <v>221</v>
      </c>
      <c r="D106" s="40" t="s">
        <v>222</v>
      </c>
      <c r="E106" s="6" t="s">
        <v>126</v>
      </c>
      <c r="F106" s="34">
        <f t="shared" si="1"/>
        <v>0</v>
      </c>
      <c r="G106" s="34">
        <v>0</v>
      </c>
      <c r="H106" s="34">
        <v>0</v>
      </c>
      <c r="I106" s="98">
        <v>0</v>
      </c>
      <c r="J106" s="7"/>
      <c r="K106" s="7"/>
      <c r="L106" s="8"/>
    </row>
    <row r="107" spans="2:12" x14ac:dyDescent="0.2">
      <c r="B107" s="244"/>
      <c r="C107" s="9" t="s">
        <v>223</v>
      </c>
      <c r="D107" s="40" t="s">
        <v>224</v>
      </c>
      <c r="E107" s="6" t="s">
        <v>182</v>
      </c>
      <c r="F107" s="34">
        <f t="shared" si="1"/>
        <v>0</v>
      </c>
      <c r="G107" s="34"/>
      <c r="H107" s="34">
        <v>0</v>
      </c>
      <c r="I107" s="98">
        <v>0</v>
      </c>
      <c r="J107" s="7"/>
      <c r="K107" s="7"/>
      <c r="L107" s="8"/>
    </row>
    <row r="108" spans="2:12" x14ac:dyDescent="0.2">
      <c r="B108" s="244"/>
      <c r="C108" s="9"/>
      <c r="D108" s="10" t="s">
        <v>225</v>
      </c>
      <c r="E108" s="6"/>
      <c r="F108" s="35">
        <f t="shared" si="1"/>
        <v>0</v>
      </c>
      <c r="G108" s="35">
        <v>0</v>
      </c>
      <c r="H108" s="35">
        <v>0</v>
      </c>
      <c r="I108" s="93"/>
      <c r="J108" s="7"/>
      <c r="K108" s="7"/>
      <c r="L108" s="8"/>
    </row>
    <row r="109" spans="2:12" x14ac:dyDescent="0.2">
      <c r="B109" s="244"/>
      <c r="C109" s="9" t="s">
        <v>226</v>
      </c>
      <c r="D109" s="10" t="s">
        <v>227</v>
      </c>
      <c r="E109" s="6" t="s">
        <v>136</v>
      </c>
      <c r="F109" s="34">
        <f t="shared" si="1"/>
        <v>0</v>
      </c>
      <c r="G109" s="34">
        <v>0</v>
      </c>
      <c r="H109" s="34">
        <v>0</v>
      </c>
      <c r="I109" s="98"/>
      <c r="J109" s="7"/>
      <c r="K109" s="7"/>
      <c r="L109" s="8"/>
    </row>
    <row r="110" spans="2:12" ht="16" thickBot="1" x14ac:dyDescent="0.25">
      <c r="B110" s="244"/>
      <c r="C110" s="9" t="s">
        <v>228</v>
      </c>
      <c r="D110" s="10" t="s">
        <v>229</v>
      </c>
      <c r="E110" s="6" t="s">
        <v>136</v>
      </c>
      <c r="F110" s="140">
        <v>0</v>
      </c>
      <c r="G110" s="69">
        <v>0</v>
      </c>
      <c r="H110" s="34">
        <v>0</v>
      </c>
      <c r="I110" s="98"/>
      <c r="J110" s="7"/>
      <c r="K110" s="7"/>
      <c r="L110" s="8"/>
    </row>
    <row r="111" spans="2:12" ht="17" thickBot="1" x14ac:dyDescent="0.25">
      <c r="B111" s="141"/>
      <c r="C111" s="142"/>
      <c r="D111" s="142" t="s">
        <v>230</v>
      </c>
      <c r="E111" s="142"/>
      <c r="F111" s="143"/>
      <c r="G111" s="144"/>
      <c r="H111" s="143"/>
      <c r="I111" s="145">
        <v>0.84</v>
      </c>
      <c r="J111" s="7"/>
      <c r="K111" s="7"/>
      <c r="L111" s="8"/>
    </row>
    <row r="112" spans="2:12" x14ac:dyDescent="0.2">
      <c r="G112" s="71"/>
    </row>
    <row r="113" spans="2:18" x14ac:dyDescent="0.2">
      <c r="G113" s="71"/>
    </row>
    <row r="114" spans="2:18" x14ac:dyDescent="0.2">
      <c r="G114" s="71"/>
    </row>
    <row r="115" spans="2:18" s="1" customFormat="1" x14ac:dyDescent="0.2">
      <c r="B115"/>
      <c r="F115" s="37"/>
      <c r="G115" s="71"/>
      <c r="H115" s="37"/>
      <c r="I115" s="38"/>
      <c r="M115"/>
      <c r="N115"/>
      <c r="O115"/>
      <c r="P115"/>
      <c r="Q115"/>
      <c r="R115"/>
    </row>
    <row r="116" spans="2:18" s="1" customFormat="1" x14ac:dyDescent="0.2">
      <c r="B116"/>
      <c r="F116" s="37"/>
      <c r="G116" s="71"/>
      <c r="H116" s="37"/>
      <c r="I116" s="38"/>
      <c r="M116"/>
      <c r="N116"/>
      <c r="O116"/>
      <c r="P116"/>
      <c r="Q116"/>
      <c r="R116"/>
    </row>
    <row r="117" spans="2:18" s="1" customFormat="1" x14ac:dyDescent="0.2">
      <c r="B117"/>
      <c r="F117" s="37"/>
      <c r="G117" s="71"/>
      <c r="H117" s="37"/>
      <c r="I117" s="38"/>
      <c r="M117"/>
      <c r="N117"/>
      <c r="O117"/>
      <c r="P117"/>
      <c r="Q117"/>
      <c r="R117"/>
    </row>
    <row r="118" spans="2:18" s="1" customFormat="1" x14ac:dyDescent="0.2">
      <c r="B118"/>
      <c r="F118" s="37"/>
      <c r="G118" s="37"/>
      <c r="H118" s="37"/>
      <c r="I118" s="38"/>
      <c r="M118"/>
      <c r="N118"/>
      <c r="O118"/>
      <c r="P118"/>
      <c r="Q118"/>
      <c r="R118"/>
    </row>
    <row r="119" spans="2:18" s="1" customFormat="1" x14ac:dyDescent="0.2">
      <c r="B119"/>
      <c r="F119" s="37"/>
      <c r="G119" s="37"/>
      <c r="H119" s="37"/>
      <c r="I119" s="38"/>
      <c r="M119"/>
      <c r="N119"/>
      <c r="O119"/>
      <c r="P119"/>
      <c r="Q119"/>
      <c r="R119"/>
    </row>
    <row r="121" spans="2:18" s="1" customFormat="1" x14ac:dyDescent="0.2">
      <c r="B121"/>
      <c r="F121" s="37"/>
      <c r="G121" s="37"/>
      <c r="H121" s="37"/>
      <c r="I121" s="39"/>
      <c r="M121"/>
      <c r="N121"/>
      <c r="O121"/>
      <c r="P121"/>
      <c r="Q121"/>
      <c r="R121"/>
    </row>
    <row r="127" spans="2:18" s="1" customFormat="1" x14ac:dyDescent="0.2">
      <c r="B127"/>
      <c r="F127" s="37"/>
      <c r="G127" s="37"/>
      <c r="H127" s="37"/>
      <c r="I127" s="38"/>
      <c r="M127"/>
      <c r="N127"/>
      <c r="O127"/>
      <c r="P127"/>
      <c r="Q127"/>
      <c r="R127"/>
    </row>
    <row r="133" spans="2:18" s="1" customFormat="1" x14ac:dyDescent="0.2">
      <c r="B133"/>
      <c r="F133" s="37"/>
      <c r="G133" s="37"/>
      <c r="H133" s="37"/>
      <c r="I133" s="38"/>
      <c r="M133"/>
      <c r="N133"/>
      <c r="O133"/>
      <c r="P133"/>
      <c r="Q133"/>
      <c r="R133"/>
    </row>
    <row r="134" spans="2:18" s="1" customFormat="1" x14ac:dyDescent="0.2">
      <c r="B134"/>
      <c r="F134" s="37"/>
      <c r="G134" s="37"/>
      <c r="H134" s="37"/>
      <c r="I134" s="38"/>
      <c r="J134" s="26"/>
      <c r="K134" s="27"/>
      <c r="M134"/>
      <c r="N134"/>
      <c r="O134"/>
      <c r="P134"/>
      <c r="Q134"/>
      <c r="R134"/>
    </row>
    <row r="135" spans="2:18" s="1" customFormat="1" x14ac:dyDescent="0.2">
      <c r="B135"/>
      <c r="F135" s="37"/>
      <c r="G135" s="37"/>
      <c r="H135" s="37"/>
      <c r="I135" s="38"/>
      <c r="J135" s="28"/>
      <c r="K135" s="29"/>
      <c r="M135"/>
      <c r="N135"/>
      <c r="O135"/>
      <c r="P135"/>
      <c r="Q135"/>
      <c r="R135"/>
    </row>
    <row r="136" spans="2:18" s="1" customFormat="1" x14ac:dyDescent="0.2">
      <c r="B136"/>
      <c r="F136" s="37"/>
      <c r="G136" s="37"/>
      <c r="H136" s="37"/>
      <c r="I136" s="38"/>
      <c r="J136" s="28"/>
      <c r="K136" s="30"/>
      <c r="M136"/>
      <c r="N136"/>
      <c r="O136"/>
      <c r="P136"/>
      <c r="Q136"/>
      <c r="R136"/>
    </row>
    <row r="137" spans="2:18" s="1" customFormat="1" x14ac:dyDescent="0.2">
      <c r="B137"/>
      <c r="F137" s="37"/>
      <c r="G137" s="37"/>
      <c r="H137" s="37"/>
      <c r="I137" s="38"/>
      <c r="J137" s="31"/>
      <c r="K137" s="32"/>
      <c r="M137"/>
      <c r="N137"/>
      <c r="O137"/>
      <c r="P137"/>
      <c r="Q137"/>
      <c r="R137"/>
    </row>
    <row r="138" spans="2:18" s="1" customFormat="1" x14ac:dyDescent="0.2">
      <c r="B138"/>
      <c r="F138" s="37"/>
      <c r="G138" s="37"/>
      <c r="H138" s="37"/>
      <c r="I138" s="38"/>
      <c r="J138" s="7"/>
      <c r="M138"/>
      <c r="N138"/>
      <c r="O138"/>
      <c r="P138"/>
      <c r="Q138"/>
      <c r="R138"/>
    </row>
  </sheetData>
  <mergeCells count="8">
    <mergeCell ref="E2:E3"/>
    <mergeCell ref="F2:I2"/>
    <mergeCell ref="B4:B30"/>
    <mergeCell ref="B31:B60"/>
    <mergeCell ref="B61:B110"/>
    <mergeCell ref="B2:B3"/>
    <mergeCell ref="C2:C3"/>
    <mergeCell ref="D2:D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31883-918C-4D48-B1F4-8ABC631613E0}">
  <dimension ref="B1:N138"/>
  <sheetViews>
    <sheetView topLeftCell="C1" zoomScale="85" zoomScaleNormal="85" workbookViewId="0">
      <selection activeCell="H25" sqref="H25"/>
    </sheetView>
  </sheetViews>
  <sheetFormatPr baseColWidth="10" defaultColWidth="8.83203125" defaultRowHeight="15" x14ac:dyDescent="0.2"/>
  <cols>
    <col min="2" max="2" width="16.83203125" customWidth="1"/>
    <col min="3" max="3" width="20.1640625" style="1" customWidth="1"/>
    <col min="4" max="4" width="43" style="1" customWidth="1"/>
    <col min="5" max="5" width="12.5" style="1" customWidth="1"/>
    <col min="6" max="6" width="17.5" style="37" customWidth="1"/>
    <col min="7" max="7" width="19.1640625" style="37" customWidth="1"/>
    <col min="8" max="8" width="14.83203125" style="37" customWidth="1"/>
    <col min="9" max="9" width="16.1640625" style="38" customWidth="1"/>
  </cols>
  <sheetData>
    <row r="1" spans="2:9" ht="16" thickBot="1" x14ac:dyDescent="0.25">
      <c r="F1"/>
      <c r="G1" s="72"/>
      <c r="H1"/>
      <c r="I1" s="1"/>
    </row>
    <row r="2" spans="2:9" ht="16" thickBot="1" x14ac:dyDescent="0.25">
      <c r="B2" s="245" t="s">
        <v>0</v>
      </c>
      <c r="C2" s="247" t="s">
        <v>1</v>
      </c>
      <c r="D2" s="249" t="s">
        <v>2</v>
      </c>
      <c r="E2" s="236" t="s">
        <v>3</v>
      </c>
      <c r="F2" s="238" t="s">
        <v>4</v>
      </c>
      <c r="G2" s="239"/>
      <c r="H2" s="239"/>
      <c r="I2" s="240"/>
    </row>
    <row r="3" spans="2:9" s="1" customFormat="1" ht="16" thickBot="1" x14ac:dyDescent="0.25">
      <c r="B3" s="246"/>
      <c r="C3" s="248"/>
      <c r="D3" s="250"/>
      <c r="E3" s="237"/>
      <c r="F3" s="62" t="s">
        <v>237</v>
      </c>
      <c r="G3" s="66" t="s">
        <v>238</v>
      </c>
      <c r="H3" s="62" t="s">
        <v>239</v>
      </c>
      <c r="I3" s="104" t="s">
        <v>240</v>
      </c>
    </row>
    <row r="4" spans="2:9" x14ac:dyDescent="0.2">
      <c r="B4" s="241" t="s">
        <v>5</v>
      </c>
      <c r="C4" s="4" t="s">
        <v>6</v>
      </c>
      <c r="D4" s="5" t="s">
        <v>7</v>
      </c>
      <c r="E4" s="6" t="s">
        <v>8</v>
      </c>
      <c r="F4" s="118">
        <v>172.432119566593</v>
      </c>
      <c r="G4" s="127">
        <v>169.6</v>
      </c>
      <c r="H4" s="123">
        <v>178.27340000000001</v>
      </c>
      <c r="I4" s="105">
        <v>183.98782310000001</v>
      </c>
    </row>
    <row r="5" spans="2:9" x14ac:dyDescent="0.2">
      <c r="B5" s="242"/>
      <c r="C5" s="9"/>
      <c r="D5" s="10" t="s">
        <v>9</v>
      </c>
      <c r="E5" s="6" t="s">
        <v>10</v>
      </c>
      <c r="F5" s="119">
        <v>0</v>
      </c>
      <c r="G5" s="128">
        <v>0</v>
      </c>
      <c r="H5" s="124">
        <v>0</v>
      </c>
      <c r="I5" s="87">
        <v>0</v>
      </c>
    </row>
    <row r="6" spans="2:9" x14ac:dyDescent="0.2">
      <c r="B6" s="242"/>
      <c r="C6" s="9" t="s">
        <v>11</v>
      </c>
      <c r="D6" s="10" t="s">
        <v>12</v>
      </c>
      <c r="E6" s="6" t="s">
        <v>13</v>
      </c>
      <c r="F6" s="120">
        <v>0.49635894565419297</v>
      </c>
      <c r="G6" s="129">
        <v>0.49</v>
      </c>
      <c r="H6" s="125">
        <v>0.51317199999999996</v>
      </c>
      <c r="I6" s="106">
        <v>0.52962291530000005</v>
      </c>
    </row>
    <row r="7" spans="2:9" x14ac:dyDescent="0.2">
      <c r="B7" s="242"/>
      <c r="C7" s="9" t="s">
        <v>14</v>
      </c>
      <c r="D7" s="10" t="s">
        <v>15</v>
      </c>
      <c r="E7" s="6" t="s">
        <v>16</v>
      </c>
      <c r="F7" s="119">
        <v>-54.847089568967299</v>
      </c>
      <c r="G7" s="129">
        <v>-68.66</v>
      </c>
      <c r="H7" s="124">
        <v>-74.802700000000002</v>
      </c>
      <c r="I7" s="87">
        <v>-57.724413339999998</v>
      </c>
    </row>
    <row r="8" spans="2:9" x14ac:dyDescent="0.2">
      <c r="B8" s="242"/>
      <c r="C8" s="9" t="s">
        <v>17</v>
      </c>
      <c r="D8" s="10" t="s">
        <v>18</v>
      </c>
      <c r="E8" s="6" t="s">
        <v>19</v>
      </c>
      <c r="F8" s="121">
        <v>0</v>
      </c>
      <c r="G8" s="128">
        <v>0</v>
      </c>
      <c r="H8" s="116">
        <v>0</v>
      </c>
      <c r="I8" s="85">
        <v>0</v>
      </c>
    </row>
    <row r="9" spans="2:9" x14ac:dyDescent="0.2">
      <c r="B9" s="242"/>
      <c r="C9" s="9"/>
      <c r="D9" s="10" t="s">
        <v>20</v>
      </c>
      <c r="E9" s="6" t="s">
        <v>19</v>
      </c>
      <c r="F9" s="121">
        <v>71.849818741332797</v>
      </c>
      <c r="G9" s="129">
        <v>76.72</v>
      </c>
      <c r="H9" s="116">
        <v>78.262609999999995</v>
      </c>
      <c r="I9" s="85">
        <v>71.168999999999997</v>
      </c>
    </row>
    <row r="10" spans="2:9" x14ac:dyDescent="0.2">
      <c r="B10" s="242"/>
      <c r="C10" s="9" t="s">
        <v>21</v>
      </c>
      <c r="D10" s="10" t="s">
        <v>22</v>
      </c>
      <c r="E10" s="6" t="s">
        <v>16</v>
      </c>
      <c r="F10" s="121">
        <v>162.564001880022</v>
      </c>
      <c r="G10" s="129">
        <v>215.92</v>
      </c>
      <c r="H10" s="116">
        <v>185.69059999999999</v>
      </c>
      <c r="I10" s="85">
        <v>217.0689931</v>
      </c>
    </row>
    <row r="11" spans="2:9" x14ac:dyDescent="0.2">
      <c r="B11" s="242"/>
      <c r="C11" s="9" t="s">
        <v>23</v>
      </c>
      <c r="D11" s="10" t="s">
        <v>24</v>
      </c>
      <c r="E11" s="6" t="s">
        <v>25</v>
      </c>
      <c r="F11" s="122">
        <f>1.549571127045*1000</f>
        <v>1549.5711270450001</v>
      </c>
      <c r="G11" s="129">
        <v>1557.46</v>
      </c>
      <c r="H11" s="116">
        <v>1570.433</v>
      </c>
      <c r="I11" s="85">
        <v>1571.998227</v>
      </c>
    </row>
    <row r="12" spans="2:9" x14ac:dyDescent="0.2">
      <c r="B12" s="242"/>
      <c r="C12" s="9"/>
      <c r="D12" s="10" t="s">
        <v>26</v>
      </c>
      <c r="E12" s="6" t="s">
        <v>25</v>
      </c>
      <c r="F12" s="121">
        <f>8.73205389223433*1000</f>
        <v>8732.0538922343294</v>
      </c>
      <c r="G12" s="129">
        <v>8432.9</v>
      </c>
      <c r="H12" s="116">
        <v>8964.3510000000006</v>
      </c>
      <c r="I12" s="85">
        <v>9245.2444059999998</v>
      </c>
    </row>
    <row r="13" spans="2:9" x14ac:dyDescent="0.2">
      <c r="B13" s="242"/>
      <c r="C13" s="9" t="s">
        <v>27</v>
      </c>
      <c r="D13" s="10" t="s">
        <v>28</v>
      </c>
      <c r="E13" s="6" t="s">
        <v>13</v>
      </c>
      <c r="F13" s="103">
        <v>0</v>
      </c>
      <c r="G13" s="129"/>
      <c r="H13" s="126">
        <v>0</v>
      </c>
      <c r="I13" s="107">
        <v>0</v>
      </c>
    </row>
    <row r="14" spans="2:9" x14ac:dyDescent="0.2">
      <c r="B14" s="242"/>
      <c r="C14" s="9" t="s">
        <v>29</v>
      </c>
      <c r="D14" s="10" t="s">
        <v>30</v>
      </c>
      <c r="E14" s="6" t="s">
        <v>13</v>
      </c>
      <c r="F14" s="103">
        <v>0</v>
      </c>
      <c r="G14" s="129"/>
      <c r="H14" s="126">
        <v>0</v>
      </c>
      <c r="I14" s="107">
        <v>0</v>
      </c>
    </row>
    <row r="15" spans="2:9" x14ac:dyDescent="0.2">
      <c r="B15" s="242"/>
      <c r="C15" s="9" t="s">
        <v>31</v>
      </c>
      <c r="D15" s="10" t="s">
        <v>32</v>
      </c>
      <c r="E15" s="6" t="s">
        <v>13</v>
      </c>
      <c r="F15" s="103">
        <v>0</v>
      </c>
      <c r="G15" s="129"/>
      <c r="H15" s="126">
        <v>0</v>
      </c>
      <c r="I15" s="107">
        <v>0</v>
      </c>
    </row>
    <row r="16" spans="2:9" x14ac:dyDescent="0.2">
      <c r="B16" s="242"/>
      <c r="C16" s="9" t="s">
        <v>33</v>
      </c>
      <c r="D16" s="10" t="s">
        <v>34</v>
      </c>
      <c r="E16" s="6" t="s">
        <v>35</v>
      </c>
      <c r="F16" s="74">
        <v>0</v>
      </c>
      <c r="G16" s="129">
        <v>0</v>
      </c>
      <c r="H16" s="116">
        <v>0</v>
      </c>
      <c r="I16" s="85">
        <v>0</v>
      </c>
    </row>
    <row r="17" spans="2:9" x14ac:dyDescent="0.2">
      <c r="B17" s="242"/>
      <c r="C17" s="9" t="s">
        <v>36</v>
      </c>
      <c r="D17" s="10" t="s">
        <v>37</v>
      </c>
      <c r="E17" s="6" t="s">
        <v>13</v>
      </c>
      <c r="F17" s="131">
        <v>0</v>
      </c>
      <c r="G17" s="129"/>
      <c r="H17" s="126">
        <v>0</v>
      </c>
      <c r="I17" s="107">
        <v>0</v>
      </c>
    </row>
    <row r="18" spans="2:9" x14ac:dyDescent="0.2">
      <c r="B18" s="242"/>
      <c r="C18" s="9" t="s">
        <v>38</v>
      </c>
      <c r="D18" s="10" t="s">
        <v>39</v>
      </c>
      <c r="E18" s="6" t="s">
        <v>13</v>
      </c>
      <c r="F18" s="131">
        <v>0</v>
      </c>
      <c r="G18" s="128">
        <v>0</v>
      </c>
      <c r="H18" s="126">
        <v>0</v>
      </c>
      <c r="I18" s="107">
        <v>0</v>
      </c>
    </row>
    <row r="19" spans="2:9" x14ac:dyDescent="0.2">
      <c r="B19" s="242"/>
      <c r="C19" s="9" t="s">
        <v>40</v>
      </c>
      <c r="D19" s="10" t="s">
        <v>41</v>
      </c>
      <c r="E19" s="6" t="s">
        <v>13</v>
      </c>
      <c r="F19" s="132">
        <v>0.82928400945526304</v>
      </c>
      <c r="G19" s="128">
        <v>0.77</v>
      </c>
      <c r="H19" s="126">
        <v>0.79022000000000003</v>
      </c>
      <c r="I19" s="107">
        <v>0.77021699789999998</v>
      </c>
    </row>
    <row r="20" spans="2:9" x14ac:dyDescent="0.2">
      <c r="B20" s="242"/>
      <c r="C20" s="9" t="s">
        <v>42</v>
      </c>
      <c r="D20" s="10" t="s">
        <v>43</v>
      </c>
      <c r="E20" s="6" t="s">
        <v>13</v>
      </c>
      <c r="F20" s="132">
        <v>0.17071599054473499</v>
      </c>
      <c r="G20" s="128">
        <v>0.23</v>
      </c>
      <c r="H20" s="126">
        <v>0.20977999999999999</v>
      </c>
      <c r="I20" s="107">
        <v>0.22978300209999999</v>
      </c>
    </row>
    <row r="21" spans="2:9" x14ac:dyDescent="0.2">
      <c r="B21" s="242"/>
      <c r="C21" s="9"/>
      <c r="D21" s="10" t="s">
        <v>44</v>
      </c>
      <c r="E21" s="6" t="s">
        <v>8</v>
      </c>
      <c r="F21" s="121">
        <v>0</v>
      </c>
      <c r="G21" s="129">
        <v>0</v>
      </c>
      <c r="H21" s="116">
        <v>0</v>
      </c>
      <c r="I21" s="85">
        <v>0</v>
      </c>
    </row>
    <row r="22" spans="2:9" x14ac:dyDescent="0.2">
      <c r="B22" s="242"/>
      <c r="C22" s="9"/>
      <c r="D22" s="10" t="s">
        <v>45</v>
      </c>
      <c r="E22" s="6" t="s">
        <v>8</v>
      </c>
      <c r="F22" s="121">
        <v>142.99519947305299</v>
      </c>
      <c r="G22" s="129">
        <v>129.83000000000001</v>
      </c>
      <c r="H22" s="116">
        <v>140.87520000000001</v>
      </c>
      <c r="I22" s="85">
        <v>141.7105487</v>
      </c>
    </row>
    <row r="23" spans="2:9" x14ac:dyDescent="0.2">
      <c r="B23" s="242"/>
      <c r="C23" s="9"/>
      <c r="D23" s="10" t="s">
        <v>46</v>
      </c>
      <c r="E23" s="6" t="s">
        <v>8</v>
      </c>
      <c r="F23" s="121">
        <v>29.4369200935392</v>
      </c>
      <c r="G23" s="129">
        <v>39.770000000000003</v>
      </c>
      <c r="H23" s="116">
        <v>37.39817</v>
      </c>
      <c r="I23" s="85">
        <v>42.277274319999997</v>
      </c>
    </row>
    <row r="24" spans="2:9" x14ac:dyDescent="0.2">
      <c r="B24" s="242"/>
      <c r="C24" s="9" t="s">
        <v>47</v>
      </c>
      <c r="D24" s="10" t="s">
        <v>48</v>
      </c>
      <c r="E24" s="6" t="s">
        <v>8</v>
      </c>
      <c r="F24" s="121">
        <v>100.81123789527101</v>
      </c>
      <c r="G24" s="129">
        <v>76.88</v>
      </c>
      <c r="H24" s="116">
        <v>77.954769999999996</v>
      </c>
      <c r="I24" s="85">
        <v>87.791775180000002</v>
      </c>
    </row>
    <row r="25" spans="2:9" x14ac:dyDescent="0.2">
      <c r="B25" s="242"/>
      <c r="C25" s="9" t="s">
        <v>49</v>
      </c>
      <c r="D25" s="10" t="s">
        <v>50</v>
      </c>
      <c r="E25" s="6" t="s">
        <v>8</v>
      </c>
      <c r="F25" s="121">
        <v>0</v>
      </c>
      <c r="G25" s="129"/>
      <c r="H25" s="116">
        <v>0</v>
      </c>
      <c r="I25" s="85">
        <v>0</v>
      </c>
    </row>
    <row r="26" spans="2:9" x14ac:dyDescent="0.2">
      <c r="B26" s="242"/>
      <c r="C26" s="9" t="s">
        <v>51</v>
      </c>
      <c r="D26" s="10" t="s">
        <v>52</v>
      </c>
      <c r="E26" s="6" t="s">
        <v>8</v>
      </c>
      <c r="F26" s="121">
        <v>38.310865132354998</v>
      </c>
      <c r="G26" s="129">
        <v>46.71</v>
      </c>
      <c r="H26" s="116">
        <v>45.807479999999998</v>
      </c>
      <c r="I26" s="85">
        <v>43.095836159999998</v>
      </c>
    </row>
    <row r="27" spans="2:9" x14ac:dyDescent="0.2">
      <c r="B27" s="242"/>
      <c r="C27" s="9" t="s">
        <v>53</v>
      </c>
      <c r="D27" s="10" t="s">
        <v>54</v>
      </c>
      <c r="E27" s="6" t="s">
        <v>13</v>
      </c>
      <c r="F27" s="133">
        <f>F4/(F95+F106)/8760*1000</f>
        <v>0.13238302450732825</v>
      </c>
      <c r="G27" s="129">
        <v>0.13</v>
      </c>
      <c r="H27" s="126">
        <v>0.13689999999999999</v>
      </c>
      <c r="I27" s="107">
        <v>0.16690839639999999</v>
      </c>
    </row>
    <row r="28" spans="2:9" x14ac:dyDescent="0.2">
      <c r="B28" s="242"/>
      <c r="C28" s="9" t="s">
        <v>55</v>
      </c>
      <c r="D28" s="10" t="s">
        <v>56</v>
      </c>
      <c r="E28" s="6" t="s">
        <v>13</v>
      </c>
      <c r="F28" s="133">
        <v>0</v>
      </c>
      <c r="G28" s="129">
        <v>0</v>
      </c>
      <c r="H28" s="126">
        <v>0</v>
      </c>
      <c r="I28" s="107">
        <v>0</v>
      </c>
    </row>
    <row r="29" spans="2:9" x14ac:dyDescent="0.2">
      <c r="B29" s="242"/>
      <c r="C29" s="9" t="s">
        <v>57</v>
      </c>
      <c r="D29" s="10" t="s">
        <v>58</v>
      </c>
      <c r="E29" s="6" t="s">
        <v>13</v>
      </c>
      <c r="F29" s="133">
        <f>F4*F19/(F95)/8760*1000</f>
        <v>0.13154688458282557</v>
      </c>
      <c r="G29" s="129">
        <v>0.12</v>
      </c>
      <c r="H29" s="126">
        <v>0.24345800000000001</v>
      </c>
      <c r="I29" s="107">
        <v>0.1002840665</v>
      </c>
    </row>
    <row r="30" spans="2:9" ht="16" thickBot="1" x14ac:dyDescent="0.25">
      <c r="B30" s="243"/>
      <c r="C30" s="9" t="s">
        <v>59</v>
      </c>
      <c r="D30" s="15" t="s">
        <v>60</v>
      </c>
      <c r="E30" s="6" t="s">
        <v>13</v>
      </c>
      <c r="F30" s="133">
        <f>F4*F20/(F106)/8760*1000</f>
        <v>0.13660077260616948</v>
      </c>
      <c r="G30" s="130">
        <v>0.18</v>
      </c>
      <c r="H30" s="126">
        <v>0.173764</v>
      </c>
      <c r="I30" s="107">
        <v>0.19643332920000001</v>
      </c>
    </row>
    <row r="31" spans="2:9" x14ac:dyDescent="0.2">
      <c r="B31" s="236" t="s">
        <v>61</v>
      </c>
      <c r="C31" s="4" t="s">
        <v>62</v>
      </c>
      <c r="D31" s="10" t="s">
        <v>63</v>
      </c>
      <c r="E31" s="16" t="s">
        <v>16</v>
      </c>
      <c r="F31" s="134">
        <v>0</v>
      </c>
      <c r="G31" s="69">
        <v>0</v>
      </c>
      <c r="H31" s="49">
        <v>0</v>
      </c>
      <c r="I31" s="91">
        <v>0</v>
      </c>
    </row>
    <row r="32" spans="2:9" x14ac:dyDescent="0.2">
      <c r="B32" s="244"/>
      <c r="C32" s="9" t="s">
        <v>64</v>
      </c>
      <c r="D32" s="10" t="s">
        <v>65</v>
      </c>
      <c r="E32" s="6" t="s">
        <v>16</v>
      </c>
      <c r="F32" s="135">
        <v>88.109722039499999</v>
      </c>
      <c r="G32" s="116">
        <v>87.3</v>
      </c>
      <c r="H32" s="50">
        <v>87.892200000000003</v>
      </c>
      <c r="I32" s="92">
        <v>88.107024139999993</v>
      </c>
    </row>
    <row r="33" spans="2:9" x14ac:dyDescent="0.2">
      <c r="B33" s="244"/>
      <c r="C33" s="9" t="s">
        <v>66</v>
      </c>
      <c r="D33" s="10" t="s">
        <v>67</v>
      </c>
      <c r="E33" s="6" t="s">
        <v>16</v>
      </c>
      <c r="F33" s="135">
        <v>74.454279840522304</v>
      </c>
      <c r="G33" s="69">
        <v>128.62</v>
      </c>
      <c r="H33" s="50">
        <v>97.798389999999998</v>
      </c>
      <c r="I33" s="92">
        <v>128.96196900000001</v>
      </c>
    </row>
    <row r="34" spans="2:9" x14ac:dyDescent="0.2">
      <c r="B34" s="244"/>
      <c r="C34" s="9" t="s">
        <v>68</v>
      </c>
      <c r="D34" s="10" t="s">
        <v>69</v>
      </c>
      <c r="E34" s="6" t="s">
        <v>16</v>
      </c>
      <c r="F34" s="135">
        <v>0</v>
      </c>
      <c r="G34" s="69"/>
      <c r="H34" s="50">
        <v>0</v>
      </c>
      <c r="I34" s="92">
        <v>0</v>
      </c>
    </row>
    <row r="35" spans="2:9" x14ac:dyDescent="0.2">
      <c r="B35" s="244"/>
      <c r="C35" s="9" t="s">
        <v>70</v>
      </c>
      <c r="D35" s="10" t="s">
        <v>71</v>
      </c>
      <c r="E35" s="6" t="s">
        <v>16</v>
      </c>
      <c r="F35" s="135">
        <v>0</v>
      </c>
      <c r="G35" s="69"/>
      <c r="H35" s="50">
        <v>0</v>
      </c>
      <c r="I35" s="92">
        <v>0</v>
      </c>
    </row>
    <row r="36" spans="2:9" x14ac:dyDescent="0.2">
      <c r="B36" s="244"/>
      <c r="C36" s="9" t="s">
        <v>72</v>
      </c>
      <c r="D36" s="10" t="s">
        <v>73</v>
      </c>
      <c r="E36" s="6" t="s">
        <v>16</v>
      </c>
      <c r="F36" s="135">
        <v>0</v>
      </c>
      <c r="G36" s="69"/>
      <c r="H36" s="50">
        <v>0</v>
      </c>
      <c r="I36" s="92">
        <v>0</v>
      </c>
    </row>
    <row r="37" spans="2:9" x14ac:dyDescent="0.2">
      <c r="B37" s="244"/>
      <c r="C37" s="9" t="s">
        <v>74</v>
      </c>
      <c r="D37" s="10" t="s">
        <v>75</v>
      </c>
      <c r="E37" s="6" t="s">
        <v>16</v>
      </c>
      <c r="F37" s="135">
        <v>0</v>
      </c>
      <c r="G37" s="69"/>
      <c r="H37" s="50">
        <v>0</v>
      </c>
      <c r="I37" s="92">
        <f>H37</f>
        <v>0</v>
      </c>
    </row>
    <row r="38" spans="2:9" x14ac:dyDescent="0.2">
      <c r="B38" s="244"/>
      <c r="C38" s="9" t="s">
        <v>76</v>
      </c>
      <c r="D38" s="10" t="s">
        <v>77</v>
      </c>
      <c r="E38" s="6" t="s">
        <v>16</v>
      </c>
      <c r="F38" s="135">
        <v>0</v>
      </c>
      <c r="G38" s="69"/>
      <c r="H38" s="50">
        <v>0</v>
      </c>
      <c r="I38" s="92">
        <f t="shared" ref="I38:I45" si="0">H38</f>
        <v>0</v>
      </c>
    </row>
    <row r="39" spans="2:9" x14ac:dyDescent="0.2">
      <c r="B39" s="244"/>
      <c r="C39" s="9" t="s">
        <v>78</v>
      </c>
      <c r="D39" s="10" t="s">
        <v>79</v>
      </c>
      <c r="E39" s="6" t="s">
        <v>16</v>
      </c>
      <c r="F39" s="135">
        <v>0</v>
      </c>
      <c r="G39" s="69"/>
      <c r="H39" s="50">
        <v>0</v>
      </c>
      <c r="I39" s="92">
        <f t="shared" si="0"/>
        <v>0</v>
      </c>
    </row>
    <row r="40" spans="2:9" x14ac:dyDescent="0.2">
      <c r="B40" s="244"/>
      <c r="C40" s="9" t="s">
        <v>80</v>
      </c>
      <c r="D40" s="10" t="s">
        <v>81</v>
      </c>
      <c r="E40" s="6" t="s">
        <v>16</v>
      </c>
      <c r="F40" s="135">
        <v>0</v>
      </c>
      <c r="G40" s="69"/>
      <c r="H40" s="50">
        <v>0</v>
      </c>
      <c r="I40" s="92">
        <f t="shared" si="0"/>
        <v>0</v>
      </c>
    </row>
    <row r="41" spans="2:9" x14ac:dyDescent="0.2">
      <c r="B41" s="244"/>
      <c r="C41" s="9" t="s">
        <v>82</v>
      </c>
      <c r="D41" s="10" t="s">
        <v>83</v>
      </c>
      <c r="E41" s="6" t="s">
        <v>16</v>
      </c>
      <c r="F41" s="135">
        <v>0</v>
      </c>
      <c r="G41" s="69"/>
      <c r="H41" s="50">
        <v>0</v>
      </c>
      <c r="I41" s="92">
        <f t="shared" si="0"/>
        <v>0</v>
      </c>
    </row>
    <row r="42" spans="2:9" x14ac:dyDescent="0.2">
      <c r="B42" s="244"/>
      <c r="C42" s="9" t="s">
        <v>84</v>
      </c>
      <c r="D42" s="10" t="s">
        <v>85</v>
      </c>
      <c r="E42" s="6" t="s">
        <v>16</v>
      </c>
      <c r="F42" s="135">
        <v>0</v>
      </c>
      <c r="G42" s="69"/>
      <c r="H42" s="50">
        <v>0</v>
      </c>
      <c r="I42" s="92">
        <f t="shared" si="0"/>
        <v>0</v>
      </c>
    </row>
    <row r="43" spans="2:9" x14ac:dyDescent="0.2">
      <c r="B43" s="244"/>
      <c r="C43" s="9" t="s">
        <v>86</v>
      </c>
      <c r="D43" s="10" t="s">
        <v>87</v>
      </c>
      <c r="E43" s="6" t="s">
        <v>25</v>
      </c>
      <c r="F43" s="135">
        <v>0</v>
      </c>
      <c r="G43" s="69"/>
      <c r="H43" s="50">
        <v>0</v>
      </c>
      <c r="I43" s="92">
        <f t="shared" si="0"/>
        <v>0</v>
      </c>
    </row>
    <row r="44" spans="2:9" x14ac:dyDescent="0.2">
      <c r="B44" s="244"/>
      <c r="C44" s="9" t="s">
        <v>88</v>
      </c>
      <c r="D44" s="10" t="s">
        <v>89</v>
      </c>
      <c r="E44" s="6" t="s">
        <v>25</v>
      </c>
      <c r="F44" s="135">
        <v>0</v>
      </c>
      <c r="G44" s="69"/>
      <c r="H44" s="50">
        <v>0</v>
      </c>
      <c r="I44" s="92">
        <f t="shared" si="0"/>
        <v>0</v>
      </c>
    </row>
    <row r="45" spans="2:9" x14ac:dyDescent="0.2">
      <c r="B45" s="244"/>
      <c r="C45" s="9" t="s">
        <v>90</v>
      </c>
      <c r="D45" s="10" t="s">
        <v>91</v>
      </c>
      <c r="E45" s="6" t="s">
        <v>16</v>
      </c>
      <c r="F45" s="135">
        <v>0</v>
      </c>
      <c r="G45" s="69">
        <v>0</v>
      </c>
      <c r="H45" s="50">
        <v>0</v>
      </c>
      <c r="I45" s="92">
        <f t="shared" si="0"/>
        <v>0</v>
      </c>
    </row>
    <row r="46" spans="2:9" x14ac:dyDescent="0.2">
      <c r="B46" s="244"/>
      <c r="C46" s="9" t="s">
        <v>92</v>
      </c>
      <c r="D46" s="10" t="s">
        <v>93</v>
      </c>
      <c r="E46" s="6" t="s">
        <v>16</v>
      </c>
      <c r="F46" s="135">
        <v>37.941758399999998</v>
      </c>
      <c r="G46" s="69">
        <v>37.69</v>
      </c>
      <c r="H46" s="50">
        <v>37.940539999999999</v>
      </c>
      <c r="I46" s="92">
        <v>37.940535359999998</v>
      </c>
    </row>
    <row r="47" spans="2:9" x14ac:dyDescent="0.2">
      <c r="B47" s="244"/>
      <c r="C47" s="9" t="s">
        <v>94</v>
      </c>
      <c r="D47" s="10" t="s">
        <v>95</v>
      </c>
      <c r="E47" s="6" t="s">
        <v>16</v>
      </c>
      <c r="F47" s="135">
        <v>28.456318799999998</v>
      </c>
      <c r="G47" s="69">
        <v>28.27</v>
      </c>
      <c r="H47" s="50">
        <v>28.455400000000001</v>
      </c>
      <c r="I47" s="92">
        <v>28.455401519999999</v>
      </c>
    </row>
    <row r="48" spans="2:9" x14ac:dyDescent="0.2">
      <c r="B48" s="244"/>
      <c r="C48" s="9" t="s">
        <v>96</v>
      </c>
      <c r="D48" s="10" t="s">
        <v>97</v>
      </c>
      <c r="E48" s="6" t="s">
        <v>16</v>
      </c>
      <c r="F48" s="135">
        <v>0</v>
      </c>
      <c r="G48" s="69">
        <v>0</v>
      </c>
      <c r="H48" s="50">
        <v>0</v>
      </c>
      <c r="I48" s="92">
        <v>0</v>
      </c>
    </row>
    <row r="49" spans="2:11" x14ac:dyDescent="0.2">
      <c r="B49" s="244"/>
      <c r="C49" s="9" t="s">
        <v>98</v>
      </c>
      <c r="D49" s="10" t="s">
        <v>99</v>
      </c>
      <c r="E49" s="6" t="s">
        <v>16</v>
      </c>
      <c r="F49" s="135">
        <v>5.2117800000000001</v>
      </c>
      <c r="G49" s="69">
        <v>5.17</v>
      </c>
      <c r="H49" s="50">
        <v>5.2116119999999997</v>
      </c>
      <c r="I49" s="92">
        <v>5.2116119999999997</v>
      </c>
    </row>
    <row r="50" spans="2:11" x14ac:dyDescent="0.2">
      <c r="B50" s="244"/>
      <c r="C50" s="9" t="s">
        <v>100</v>
      </c>
      <c r="D50" s="10" t="s">
        <v>101</v>
      </c>
      <c r="E50" s="6" t="s">
        <v>16</v>
      </c>
      <c r="F50" s="135">
        <v>6.9757538318999996</v>
      </c>
      <c r="G50" s="69">
        <v>6.93</v>
      </c>
      <c r="H50" s="50">
        <v>6.9756710000000002</v>
      </c>
      <c r="I50" s="92">
        <v>6.9756712609999996</v>
      </c>
    </row>
    <row r="51" spans="2:11" x14ac:dyDescent="0.2">
      <c r="B51" s="244"/>
      <c r="C51" s="9" t="s">
        <v>102</v>
      </c>
      <c r="D51" s="10" t="s">
        <v>103</v>
      </c>
      <c r="E51" s="6" t="s">
        <v>25</v>
      </c>
      <c r="F51" s="135">
        <f>1.35506279999999*1000</f>
        <v>1355.0627999999899</v>
      </c>
      <c r="G51" s="69">
        <v>1344.91</v>
      </c>
      <c r="H51" s="50">
        <v>1355.019</v>
      </c>
      <c r="I51" s="92">
        <v>1355.0191199999999</v>
      </c>
    </row>
    <row r="52" spans="2:11" x14ac:dyDescent="0.2">
      <c r="B52" s="244"/>
      <c r="C52" s="9" t="s">
        <v>104</v>
      </c>
      <c r="D52" s="10" t="s">
        <v>105</v>
      </c>
      <c r="E52" s="6" t="s">
        <v>16</v>
      </c>
      <c r="F52" s="135">
        <v>71.609857199999993</v>
      </c>
      <c r="G52" s="69">
        <v>71.13</v>
      </c>
      <c r="H52" s="50">
        <v>71.607550000000003</v>
      </c>
      <c r="I52" s="92">
        <v>71.607548879999996</v>
      </c>
    </row>
    <row r="53" spans="2:11" x14ac:dyDescent="0.2">
      <c r="B53" s="244"/>
      <c r="C53" s="9" t="s">
        <v>106</v>
      </c>
      <c r="D53" s="10" t="s">
        <v>107</v>
      </c>
      <c r="E53" s="6" t="s">
        <v>16</v>
      </c>
      <c r="F53" s="135">
        <v>0</v>
      </c>
      <c r="G53" s="69"/>
      <c r="H53" s="50">
        <v>0</v>
      </c>
      <c r="I53" s="92">
        <v>0</v>
      </c>
    </row>
    <row r="54" spans="2:11" x14ac:dyDescent="0.2">
      <c r="B54" s="244"/>
      <c r="C54" s="9" t="s">
        <v>108</v>
      </c>
      <c r="D54" s="10" t="s">
        <v>109</v>
      </c>
      <c r="E54" s="6" t="s">
        <v>16</v>
      </c>
      <c r="F54" s="135">
        <v>4.6494</v>
      </c>
      <c r="G54" s="69">
        <v>4.6399999999999997</v>
      </c>
      <c r="H54" s="50">
        <v>4.6435409999999999</v>
      </c>
      <c r="I54" s="92">
        <v>4.6435433130000003</v>
      </c>
    </row>
    <row r="55" spans="2:11" x14ac:dyDescent="0.2">
      <c r="B55" s="244"/>
      <c r="C55" s="9" t="s">
        <v>110</v>
      </c>
      <c r="D55" s="10" t="s">
        <v>111</v>
      </c>
      <c r="E55" s="6" t="s">
        <v>16</v>
      </c>
      <c r="F55" s="135">
        <v>30.532440265014198</v>
      </c>
      <c r="G55" s="69">
        <v>27.3</v>
      </c>
      <c r="H55" s="50">
        <v>27.30123</v>
      </c>
      <c r="I55" s="92">
        <v>27.294976699999999</v>
      </c>
      <c r="K55" s="18"/>
    </row>
    <row r="56" spans="2:11" x14ac:dyDescent="0.2">
      <c r="B56" s="244"/>
      <c r="C56" s="9" t="s">
        <v>112</v>
      </c>
      <c r="D56" s="10" t="s">
        <v>113</v>
      </c>
      <c r="E56" s="6" t="s">
        <v>16</v>
      </c>
      <c r="F56" s="135">
        <v>30.532440265014198</v>
      </c>
      <c r="G56" s="113">
        <v>81.89</v>
      </c>
      <c r="H56" s="114">
        <v>54.602469999999997</v>
      </c>
      <c r="I56" s="115">
        <v>81.884930100000005</v>
      </c>
    </row>
    <row r="57" spans="2:11" x14ac:dyDescent="0.2">
      <c r="B57" s="244"/>
      <c r="C57" s="9" t="s">
        <v>114</v>
      </c>
      <c r="D57" s="10" t="s">
        <v>115</v>
      </c>
      <c r="E57" s="6" t="s">
        <v>25</v>
      </c>
      <c r="F57" s="135">
        <f>0.1425816*1000</f>
        <v>142.58160000000001</v>
      </c>
      <c r="G57" s="69">
        <v>142.4</v>
      </c>
      <c r="H57" s="50">
        <v>142.40190000000001</v>
      </c>
      <c r="I57" s="92">
        <v>142.40199490000001</v>
      </c>
    </row>
    <row r="58" spans="2:11" x14ac:dyDescent="0.2">
      <c r="B58" s="244"/>
      <c r="C58" s="9" t="s">
        <v>116</v>
      </c>
      <c r="D58" s="10" t="s">
        <v>117</v>
      </c>
      <c r="E58" s="20" t="s">
        <v>25</v>
      </c>
      <c r="F58" s="135">
        <f>0.0519267270450032*1000</f>
        <v>51.926727045003204</v>
      </c>
      <c r="G58" s="69">
        <v>70.150000000000006</v>
      </c>
      <c r="H58" s="50">
        <v>73.011610000000005</v>
      </c>
      <c r="I58" s="92">
        <v>74.577111909999999</v>
      </c>
    </row>
    <row r="59" spans="2:11" x14ac:dyDescent="0.2">
      <c r="B59" s="244"/>
      <c r="C59" s="9" t="s">
        <v>118</v>
      </c>
      <c r="D59" s="10" t="s">
        <v>119</v>
      </c>
      <c r="E59" s="6" t="s">
        <v>16</v>
      </c>
      <c r="F59" s="135">
        <v>65.714280530028503</v>
      </c>
      <c r="G59" s="113">
        <v>113.82</v>
      </c>
      <c r="H59" s="114">
        <v>86.547240000000002</v>
      </c>
      <c r="I59" s="115">
        <v>113.8234501</v>
      </c>
    </row>
    <row r="60" spans="2:11" ht="16" thickBot="1" x14ac:dyDescent="0.25">
      <c r="B60" s="244"/>
      <c r="C60" s="9" t="s">
        <v>120</v>
      </c>
      <c r="D60" s="10" t="s">
        <v>121</v>
      </c>
      <c r="E60" s="6" t="s">
        <v>122</v>
      </c>
      <c r="F60" s="135"/>
      <c r="G60" s="69">
        <v>13.01</v>
      </c>
      <c r="H60" s="50">
        <v>13.95214</v>
      </c>
      <c r="I60" s="92">
        <v>13.094200000000001</v>
      </c>
    </row>
    <row r="61" spans="2:11" x14ac:dyDescent="0.2">
      <c r="B61" s="236" t="s">
        <v>123</v>
      </c>
      <c r="C61" s="4" t="s">
        <v>124</v>
      </c>
      <c r="D61" s="5" t="s">
        <v>125</v>
      </c>
      <c r="E61" s="16" t="s">
        <v>126</v>
      </c>
      <c r="F61" s="134">
        <f>H61</f>
        <v>0</v>
      </c>
      <c r="G61" s="68" t="s">
        <v>231</v>
      </c>
      <c r="H61" s="49">
        <v>0</v>
      </c>
      <c r="I61" s="91">
        <f>H61</f>
        <v>0</v>
      </c>
    </row>
    <row r="62" spans="2:11" x14ac:dyDescent="0.2">
      <c r="B62" s="244"/>
      <c r="C62" s="9" t="s">
        <v>127</v>
      </c>
      <c r="D62" s="10" t="s">
        <v>128</v>
      </c>
      <c r="E62" s="6" t="s">
        <v>129</v>
      </c>
      <c r="F62" s="136">
        <f t="shared" ref="F62:F94" si="1">H62</f>
        <v>0</v>
      </c>
      <c r="G62" s="69"/>
      <c r="H62" s="61">
        <v>0</v>
      </c>
      <c r="I62" s="108">
        <f>H62</f>
        <v>0</v>
      </c>
    </row>
    <row r="63" spans="2:11" x14ac:dyDescent="0.2">
      <c r="B63" s="244"/>
      <c r="C63" s="9" t="s">
        <v>130</v>
      </c>
      <c r="D63" s="10" t="s">
        <v>131</v>
      </c>
      <c r="E63" s="6" t="s">
        <v>129</v>
      </c>
      <c r="F63" s="135">
        <f t="shared" si="1"/>
        <v>0</v>
      </c>
      <c r="G63" s="69"/>
      <c r="H63" s="50">
        <v>0</v>
      </c>
      <c r="I63" s="92">
        <f t="shared" ref="I63:I89" si="2">H63</f>
        <v>0</v>
      </c>
    </row>
    <row r="64" spans="2:11" x14ac:dyDescent="0.2">
      <c r="B64" s="244"/>
      <c r="C64" s="9" t="s">
        <v>132</v>
      </c>
      <c r="D64" s="10" t="s">
        <v>133</v>
      </c>
      <c r="E64" s="6" t="s">
        <v>13</v>
      </c>
      <c r="F64" s="137">
        <f t="shared" si="1"/>
        <v>0</v>
      </c>
      <c r="G64" s="69"/>
      <c r="H64" s="54">
        <v>0</v>
      </c>
      <c r="I64" s="97">
        <f t="shared" si="2"/>
        <v>0</v>
      </c>
    </row>
    <row r="65" spans="2:9" x14ac:dyDescent="0.2">
      <c r="B65" s="244"/>
      <c r="C65" s="9" t="s">
        <v>134</v>
      </c>
      <c r="D65" s="10" t="s">
        <v>135</v>
      </c>
      <c r="E65" s="6" t="s">
        <v>136</v>
      </c>
      <c r="F65" s="135">
        <f t="shared" si="1"/>
        <v>0</v>
      </c>
      <c r="G65" s="69"/>
      <c r="H65" s="50"/>
      <c r="I65" s="92">
        <f t="shared" si="2"/>
        <v>0</v>
      </c>
    </row>
    <row r="66" spans="2:9" x14ac:dyDescent="0.2">
      <c r="B66" s="244"/>
      <c r="C66" s="9" t="s">
        <v>137</v>
      </c>
      <c r="D66" s="10" t="s">
        <v>138</v>
      </c>
      <c r="E66" s="6" t="s">
        <v>136</v>
      </c>
      <c r="F66" s="135">
        <f t="shared" si="1"/>
        <v>0</v>
      </c>
      <c r="G66" s="69"/>
      <c r="H66" s="50">
        <v>0</v>
      </c>
      <c r="I66" s="92">
        <f t="shared" si="2"/>
        <v>0</v>
      </c>
    </row>
    <row r="67" spans="2:9" x14ac:dyDescent="0.2">
      <c r="B67" s="244"/>
      <c r="C67" s="9" t="s">
        <v>139</v>
      </c>
      <c r="D67" s="10" t="s">
        <v>140</v>
      </c>
      <c r="E67" s="6" t="s">
        <v>141</v>
      </c>
      <c r="F67" s="135">
        <f t="shared" si="1"/>
        <v>0</v>
      </c>
      <c r="G67" s="69"/>
      <c r="H67" s="50">
        <v>0</v>
      </c>
      <c r="I67" s="92">
        <f t="shared" si="2"/>
        <v>0</v>
      </c>
    </row>
    <row r="68" spans="2:9" x14ac:dyDescent="0.2">
      <c r="B68" s="244"/>
      <c r="C68" s="9" t="s">
        <v>142</v>
      </c>
      <c r="D68" s="40" t="s">
        <v>143</v>
      </c>
      <c r="E68" s="6" t="s">
        <v>126</v>
      </c>
      <c r="F68" s="135">
        <f t="shared" si="1"/>
        <v>0</v>
      </c>
      <c r="G68" s="69"/>
      <c r="H68" s="50">
        <v>0</v>
      </c>
      <c r="I68" s="92">
        <f t="shared" si="2"/>
        <v>0</v>
      </c>
    </row>
    <row r="69" spans="2:9" x14ac:dyDescent="0.2">
      <c r="B69" s="244"/>
      <c r="C69" s="9" t="s">
        <v>144</v>
      </c>
      <c r="D69" s="10" t="s">
        <v>145</v>
      </c>
      <c r="E69" s="6" t="s">
        <v>141</v>
      </c>
      <c r="F69" s="135">
        <f t="shared" si="1"/>
        <v>0</v>
      </c>
      <c r="G69" s="69"/>
      <c r="H69" s="50"/>
      <c r="I69" s="92">
        <f t="shared" si="2"/>
        <v>0</v>
      </c>
    </row>
    <row r="70" spans="2:9" x14ac:dyDescent="0.2">
      <c r="B70" s="244"/>
      <c r="C70" s="9" t="s">
        <v>146</v>
      </c>
      <c r="D70" s="10" t="s">
        <v>147</v>
      </c>
      <c r="E70" s="6" t="s">
        <v>141</v>
      </c>
      <c r="F70" s="135">
        <f t="shared" si="1"/>
        <v>0</v>
      </c>
      <c r="G70" s="69"/>
      <c r="H70" s="50"/>
      <c r="I70" s="92">
        <f t="shared" si="2"/>
        <v>0</v>
      </c>
    </row>
    <row r="71" spans="2:9" x14ac:dyDescent="0.2">
      <c r="B71" s="244"/>
      <c r="C71" s="9" t="s">
        <v>148</v>
      </c>
      <c r="D71" s="10" t="s">
        <v>149</v>
      </c>
      <c r="E71" s="6" t="s">
        <v>13</v>
      </c>
      <c r="F71" s="137">
        <f t="shared" si="1"/>
        <v>0</v>
      </c>
      <c r="G71" s="69"/>
      <c r="H71" s="54">
        <v>0</v>
      </c>
      <c r="I71" s="97">
        <f t="shared" si="2"/>
        <v>0</v>
      </c>
    </row>
    <row r="72" spans="2:9" x14ac:dyDescent="0.2">
      <c r="B72" s="244"/>
      <c r="C72" s="9" t="s">
        <v>150</v>
      </c>
      <c r="D72" s="10" t="s">
        <v>151</v>
      </c>
      <c r="E72" s="6" t="s">
        <v>13</v>
      </c>
      <c r="F72" s="135">
        <f t="shared" si="1"/>
        <v>0</v>
      </c>
      <c r="G72" s="69"/>
      <c r="H72" s="50"/>
      <c r="I72" s="92">
        <f t="shared" si="2"/>
        <v>0</v>
      </c>
    </row>
    <row r="73" spans="2:9" x14ac:dyDescent="0.2">
      <c r="B73" s="244"/>
      <c r="C73" s="9" t="s">
        <v>152</v>
      </c>
      <c r="D73" s="10" t="s">
        <v>153</v>
      </c>
      <c r="E73" s="6" t="s">
        <v>129</v>
      </c>
      <c r="F73" s="135">
        <f t="shared" si="1"/>
        <v>0</v>
      </c>
      <c r="G73" s="69"/>
      <c r="H73" s="50">
        <v>0</v>
      </c>
      <c r="I73" s="92">
        <f t="shared" si="2"/>
        <v>0</v>
      </c>
    </row>
    <row r="74" spans="2:9" x14ac:dyDescent="0.2">
      <c r="B74" s="244"/>
      <c r="C74" s="9" t="s">
        <v>154</v>
      </c>
      <c r="D74" s="10" t="s">
        <v>155</v>
      </c>
      <c r="E74" s="6" t="s">
        <v>156</v>
      </c>
      <c r="F74" s="135">
        <f t="shared" si="1"/>
        <v>0</v>
      </c>
      <c r="G74" s="69">
        <v>0</v>
      </c>
      <c r="H74" s="50"/>
      <c r="I74" s="92">
        <f t="shared" si="2"/>
        <v>0</v>
      </c>
    </row>
    <row r="75" spans="2:9" x14ac:dyDescent="0.2">
      <c r="B75" s="244"/>
      <c r="C75" s="9" t="s">
        <v>157</v>
      </c>
      <c r="D75" s="10" t="s">
        <v>158</v>
      </c>
      <c r="E75" s="6" t="s">
        <v>159</v>
      </c>
      <c r="F75" s="135">
        <f t="shared" si="1"/>
        <v>0</v>
      </c>
      <c r="G75" s="69"/>
      <c r="H75" s="50"/>
      <c r="I75" s="92">
        <f t="shared" si="2"/>
        <v>0</v>
      </c>
    </row>
    <row r="76" spans="2:9" x14ac:dyDescent="0.2">
      <c r="B76" s="244"/>
      <c r="C76" s="9" t="s">
        <v>160</v>
      </c>
      <c r="D76" s="23" t="s">
        <v>160</v>
      </c>
      <c r="E76" s="6" t="s">
        <v>159</v>
      </c>
      <c r="F76" s="135">
        <f t="shared" si="1"/>
        <v>0</v>
      </c>
      <c r="G76" s="69"/>
      <c r="H76" s="50"/>
      <c r="I76" s="92">
        <f t="shared" si="2"/>
        <v>0</v>
      </c>
    </row>
    <row r="77" spans="2:9" x14ac:dyDescent="0.2">
      <c r="B77" s="244"/>
      <c r="C77" s="9" t="s">
        <v>161</v>
      </c>
      <c r="D77" s="10" t="s">
        <v>162</v>
      </c>
      <c r="E77" s="6" t="s">
        <v>126</v>
      </c>
      <c r="F77" s="135">
        <f t="shared" si="1"/>
        <v>0</v>
      </c>
      <c r="G77" s="69"/>
      <c r="H77" s="50">
        <v>0</v>
      </c>
      <c r="I77" s="92">
        <f t="shared" si="2"/>
        <v>0</v>
      </c>
    </row>
    <row r="78" spans="2:9" x14ac:dyDescent="0.2">
      <c r="B78" s="244"/>
      <c r="C78" s="9" t="s">
        <v>163</v>
      </c>
      <c r="D78" s="10" t="s">
        <v>164</v>
      </c>
      <c r="E78" s="6" t="s">
        <v>13</v>
      </c>
      <c r="F78" s="137">
        <f t="shared" si="1"/>
        <v>0.95</v>
      </c>
      <c r="G78" s="69"/>
      <c r="H78" s="54">
        <v>0.95</v>
      </c>
      <c r="I78" s="97">
        <f t="shared" si="2"/>
        <v>0.95</v>
      </c>
    </row>
    <row r="79" spans="2:9" x14ac:dyDescent="0.2">
      <c r="B79" s="244"/>
      <c r="C79" s="9" t="s">
        <v>165</v>
      </c>
      <c r="D79" s="10" t="s">
        <v>166</v>
      </c>
      <c r="E79" s="6" t="s">
        <v>156</v>
      </c>
      <c r="F79" s="135">
        <f t="shared" si="1"/>
        <v>0</v>
      </c>
      <c r="G79" s="69">
        <v>0</v>
      </c>
      <c r="H79" s="50"/>
      <c r="I79" s="92">
        <f t="shared" si="2"/>
        <v>0</v>
      </c>
    </row>
    <row r="80" spans="2:9" x14ac:dyDescent="0.2">
      <c r="B80" s="244"/>
      <c r="C80" s="9" t="s">
        <v>167</v>
      </c>
      <c r="D80" s="10" t="s">
        <v>168</v>
      </c>
      <c r="E80" s="6" t="s">
        <v>126</v>
      </c>
      <c r="F80" s="135">
        <f t="shared" si="1"/>
        <v>0</v>
      </c>
      <c r="G80" s="69">
        <v>0</v>
      </c>
      <c r="H80" s="50">
        <v>0</v>
      </c>
      <c r="I80" s="92">
        <f t="shared" si="2"/>
        <v>0</v>
      </c>
    </row>
    <row r="81" spans="2:9" x14ac:dyDescent="0.2">
      <c r="B81" s="244"/>
      <c r="C81" s="9" t="s">
        <v>169</v>
      </c>
      <c r="D81" s="10" t="s">
        <v>170</v>
      </c>
      <c r="E81" s="6" t="s">
        <v>126</v>
      </c>
      <c r="F81" s="135">
        <f t="shared" si="1"/>
        <v>0</v>
      </c>
      <c r="G81" s="69">
        <v>0</v>
      </c>
      <c r="H81" s="50"/>
      <c r="I81" s="92">
        <f t="shared" si="2"/>
        <v>0</v>
      </c>
    </row>
    <row r="82" spans="2:9" x14ac:dyDescent="0.2">
      <c r="B82" s="244"/>
      <c r="C82" s="9" t="s">
        <v>171</v>
      </c>
      <c r="D82" s="10" t="s">
        <v>172</v>
      </c>
      <c r="E82" s="6" t="s">
        <v>173</v>
      </c>
      <c r="F82" s="135">
        <f t="shared" si="1"/>
        <v>0</v>
      </c>
      <c r="G82" s="69"/>
      <c r="H82" s="50">
        <v>0</v>
      </c>
      <c r="I82" s="92">
        <f t="shared" si="2"/>
        <v>0</v>
      </c>
    </row>
    <row r="83" spans="2:9" x14ac:dyDescent="0.2">
      <c r="B83" s="244"/>
      <c r="C83" s="9" t="s">
        <v>174</v>
      </c>
      <c r="D83" s="10" t="s">
        <v>175</v>
      </c>
      <c r="E83" s="6" t="s">
        <v>141</v>
      </c>
      <c r="F83" s="135">
        <f t="shared" si="1"/>
        <v>0</v>
      </c>
      <c r="G83" s="69"/>
      <c r="H83" s="50"/>
      <c r="I83" s="92">
        <f t="shared" si="2"/>
        <v>0</v>
      </c>
    </row>
    <row r="84" spans="2:9" x14ac:dyDescent="0.2">
      <c r="B84" s="244"/>
      <c r="C84" s="9" t="s">
        <v>176</v>
      </c>
      <c r="D84" s="10" t="s">
        <v>177</v>
      </c>
      <c r="E84" s="6" t="s">
        <v>141</v>
      </c>
      <c r="F84" s="135">
        <f t="shared" si="1"/>
        <v>0</v>
      </c>
      <c r="G84" s="69"/>
      <c r="H84" s="50"/>
      <c r="I84" s="92">
        <f t="shared" si="2"/>
        <v>0</v>
      </c>
    </row>
    <row r="85" spans="2:9" x14ac:dyDescent="0.2">
      <c r="B85" s="244"/>
      <c r="C85" s="9" t="s">
        <v>178</v>
      </c>
      <c r="D85" s="10" t="s">
        <v>179</v>
      </c>
      <c r="E85" s="6" t="s">
        <v>129</v>
      </c>
      <c r="F85" s="135">
        <f t="shared" si="1"/>
        <v>0</v>
      </c>
      <c r="G85" s="69"/>
      <c r="H85" s="50"/>
      <c r="I85" s="92">
        <f t="shared" si="2"/>
        <v>0</v>
      </c>
    </row>
    <row r="86" spans="2:9" x14ac:dyDescent="0.2">
      <c r="B86" s="244"/>
      <c r="C86" s="9" t="s">
        <v>180</v>
      </c>
      <c r="D86" s="40" t="s">
        <v>181</v>
      </c>
      <c r="E86" s="6" t="s">
        <v>182</v>
      </c>
      <c r="F86" s="135">
        <f t="shared" si="1"/>
        <v>0</v>
      </c>
      <c r="G86" s="69"/>
      <c r="H86" s="50">
        <v>0</v>
      </c>
      <c r="I86" s="92">
        <f t="shared" si="2"/>
        <v>0</v>
      </c>
    </row>
    <row r="87" spans="2:9" x14ac:dyDescent="0.2">
      <c r="B87" s="244"/>
      <c r="C87" s="9" t="s">
        <v>183</v>
      </c>
      <c r="D87" s="10" t="s">
        <v>184</v>
      </c>
      <c r="E87" s="6" t="s">
        <v>126</v>
      </c>
      <c r="F87" s="135">
        <f t="shared" si="1"/>
        <v>0</v>
      </c>
      <c r="G87" s="69"/>
      <c r="H87" s="50">
        <v>0</v>
      </c>
      <c r="I87" s="92">
        <f t="shared" si="2"/>
        <v>0</v>
      </c>
    </row>
    <row r="88" spans="2:9" x14ac:dyDescent="0.2">
      <c r="B88" s="244"/>
      <c r="C88" s="9" t="s">
        <v>36</v>
      </c>
      <c r="D88" s="10" t="s">
        <v>185</v>
      </c>
      <c r="E88" s="6" t="s">
        <v>13</v>
      </c>
      <c r="F88" s="137">
        <f t="shared" si="1"/>
        <v>0</v>
      </c>
      <c r="G88" s="69"/>
      <c r="H88" s="54">
        <v>0</v>
      </c>
      <c r="I88" s="97">
        <f t="shared" si="2"/>
        <v>0</v>
      </c>
    </row>
    <row r="89" spans="2:9" x14ac:dyDescent="0.2">
      <c r="B89" s="244"/>
      <c r="C89" s="9" t="s">
        <v>186</v>
      </c>
      <c r="D89" s="10" t="s">
        <v>187</v>
      </c>
      <c r="E89" s="6" t="s">
        <v>159</v>
      </c>
      <c r="F89" s="135">
        <f t="shared" si="1"/>
        <v>0</v>
      </c>
      <c r="G89" s="69"/>
      <c r="H89" s="50"/>
      <c r="I89" s="92">
        <f t="shared" si="2"/>
        <v>0</v>
      </c>
    </row>
    <row r="90" spans="2:9" x14ac:dyDescent="0.2">
      <c r="B90" s="244"/>
      <c r="C90" s="9" t="s">
        <v>188</v>
      </c>
      <c r="D90" s="10" t="s">
        <v>189</v>
      </c>
      <c r="E90" s="6" t="s">
        <v>159</v>
      </c>
      <c r="F90" s="135">
        <f t="shared" si="1"/>
        <v>550</v>
      </c>
      <c r="G90" s="69"/>
      <c r="H90" s="50">
        <v>550</v>
      </c>
      <c r="I90" s="92">
        <v>550</v>
      </c>
    </row>
    <row r="91" spans="2:9" x14ac:dyDescent="0.2">
      <c r="B91" s="244"/>
      <c r="C91" s="9" t="s">
        <v>190</v>
      </c>
      <c r="D91" s="10" t="s">
        <v>191</v>
      </c>
      <c r="E91" s="6" t="s">
        <v>159</v>
      </c>
      <c r="F91" s="135">
        <f t="shared" si="1"/>
        <v>290</v>
      </c>
      <c r="G91" s="69"/>
      <c r="H91" s="50">
        <v>290</v>
      </c>
      <c r="I91" s="92">
        <v>290</v>
      </c>
    </row>
    <row r="92" spans="2:9" x14ac:dyDescent="0.2">
      <c r="B92" s="244"/>
      <c r="C92" s="9" t="s">
        <v>192</v>
      </c>
      <c r="D92" s="10" t="s">
        <v>193</v>
      </c>
      <c r="E92" s="6" t="s">
        <v>159</v>
      </c>
      <c r="F92" s="135">
        <f t="shared" si="1"/>
        <v>30</v>
      </c>
      <c r="G92" s="69"/>
      <c r="H92" s="50">
        <v>30</v>
      </c>
      <c r="I92" s="92">
        <v>30</v>
      </c>
    </row>
    <row r="93" spans="2:9" x14ac:dyDescent="0.2">
      <c r="B93" s="244"/>
      <c r="C93" s="9" t="s">
        <v>194</v>
      </c>
      <c r="D93" s="10" t="s">
        <v>195</v>
      </c>
      <c r="E93" s="6" t="s">
        <v>126</v>
      </c>
      <c r="F93" s="135">
        <f t="shared" si="1"/>
        <v>0</v>
      </c>
      <c r="G93" s="69"/>
      <c r="H93" s="50">
        <v>0</v>
      </c>
      <c r="I93" s="92">
        <v>0</v>
      </c>
    </row>
    <row r="94" spans="2:9" x14ac:dyDescent="0.2">
      <c r="B94" s="244"/>
      <c r="C94" s="9" t="s">
        <v>196</v>
      </c>
      <c r="D94" s="40" t="s">
        <v>197</v>
      </c>
      <c r="E94" s="6" t="s">
        <v>126</v>
      </c>
      <c r="F94" s="135">
        <f t="shared" si="1"/>
        <v>0</v>
      </c>
      <c r="G94" s="69">
        <v>0</v>
      </c>
      <c r="H94" s="50">
        <v>0</v>
      </c>
      <c r="I94" s="92">
        <v>0</v>
      </c>
    </row>
    <row r="95" spans="2:9" x14ac:dyDescent="0.2">
      <c r="B95" s="244"/>
      <c r="C95" s="9" t="s">
        <v>198</v>
      </c>
      <c r="D95" s="40" t="s">
        <v>199</v>
      </c>
      <c r="E95" s="6" t="s">
        <v>126</v>
      </c>
      <c r="F95" s="135">
        <v>124.09</v>
      </c>
      <c r="G95" s="113">
        <v>123.16</v>
      </c>
      <c r="H95" s="50">
        <v>124.086</v>
      </c>
      <c r="I95" s="92">
        <v>124.086</v>
      </c>
    </row>
    <row r="96" spans="2:9" x14ac:dyDescent="0.2">
      <c r="B96" s="244"/>
      <c r="C96" s="9" t="s">
        <v>200</v>
      </c>
      <c r="D96" s="10" t="s">
        <v>201</v>
      </c>
      <c r="E96" s="6" t="s">
        <v>126</v>
      </c>
      <c r="F96" s="135">
        <v>161.31700000000001</v>
      </c>
      <c r="G96" s="69">
        <v>160.24</v>
      </c>
      <c r="H96" s="50">
        <v>161.31180000000001</v>
      </c>
      <c r="I96" s="92">
        <v>161.31180000000001</v>
      </c>
    </row>
    <row r="97" spans="2:9" x14ac:dyDescent="0.2">
      <c r="B97" s="244"/>
      <c r="C97" s="9" t="s">
        <v>202</v>
      </c>
      <c r="D97" s="10" t="s">
        <v>203</v>
      </c>
      <c r="E97" s="6" t="s">
        <v>136</v>
      </c>
      <c r="F97" s="135">
        <v>1.3</v>
      </c>
      <c r="G97" s="69">
        <v>1.3</v>
      </c>
      <c r="H97" s="50">
        <v>1.3</v>
      </c>
      <c r="I97" s="92">
        <v>1.3</v>
      </c>
    </row>
    <row r="98" spans="2:9" x14ac:dyDescent="0.2">
      <c r="B98" s="244"/>
      <c r="C98" s="9" t="s">
        <v>204</v>
      </c>
      <c r="D98" s="10" t="s">
        <v>205</v>
      </c>
      <c r="E98" s="6" t="s">
        <v>129</v>
      </c>
      <c r="F98" s="138">
        <v>896205.55555555504</v>
      </c>
      <c r="G98" s="112">
        <v>890208.4</v>
      </c>
      <c r="H98" s="53">
        <v>896176.7</v>
      </c>
      <c r="I98" s="96">
        <v>896176.66669999994</v>
      </c>
    </row>
    <row r="99" spans="2:9" x14ac:dyDescent="0.2">
      <c r="B99" s="244"/>
      <c r="C99" s="9" t="s">
        <v>206</v>
      </c>
      <c r="D99" s="10" t="s">
        <v>207</v>
      </c>
      <c r="E99" s="6" t="s">
        <v>129</v>
      </c>
      <c r="F99" s="138">
        <v>3360772.5</v>
      </c>
      <c r="G99" s="112">
        <v>3338281.5</v>
      </c>
      <c r="H99" s="53">
        <v>3360663</v>
      </c>
      <c r="I99" s="96">
        <v>3360662.5</v>
      </c>
    </row>
    <row r="100" spans="2:9" x14ac:dyDescent="0.2">
      <c r="B100" s="244"/>
      <c r="C100" s="9" t="s">
        <v>208</v>
      </c>
      <c r="D100" s="10" t="s">
        <v>209</v>
      </c>
      <c r="E100" s="6" t="s">
        <v>136</v>
      </c>
      <c r="F100" s="135">
        <v>0.4</v>
      </c>
      <c r="G100" s="69">
        <v>0.4</v>
      </c>
      <c r="H100" s="50">
        <v>0.4</v>
      </c>
      <c r="I100" s="92">
        <v>0.4</v>
      </c>
    </row>
    <row r="101" spans="2:9" x14ac:dyDescent="0.2">
      <c r="B101" s="244"/>
      <c r="C101" s="9" t="s">
        <v>210</v>
      </c>
      <c r="D101" s="10" t="s">
        <v>211</v>
      </c>
      <c r="E101" s="6" t="s">
        <v>212</v>
      </c>
      <c r="F101" s="135">
        <v>37</v>
      </c>
      <c r="G101" s="69">
        <v>37</v>
      </c>
      <c r="H101" s="50">
        <v>37</v>
      </c>
      <c r="I101" s="92">
        <v>37</v>
      </c>
    </row>
    <row r="102" spans="2:9" x14ac:dyDescent="0.2">
      <c r="B102" s="244"/>
      <c r="C102" s="9" t="s">
        <v>213</v>
      </c>
      <c r="D102" s="10" t="s">
        <v>214</v>
      </c>
      <c r="E102" s="6" t="s">
        <v>212</v>
      </c>
      <c r="F102" s="135">
        <v>0</v>
      </c>
      <c r="G102" s="69">
        <v>0</v>
      </c>
      <c r="H102" s="50">
        <v>0</v>
      </c>
      <c r="I102" s="92">
        <v>0</v>
      </c>
    </row>
    <row r="103" spans="2:9" x14ac:dyDescent="0.2">
      <c r="B103" s="244"/>
      <c r="C103" s="9" t="s">
        <v>215</v>
      </c>
      <c r="D103" s="10" t="s">
        <v>216</v>
      </c>
      <c r="E103" s="6" t="s">
        <v>13</v>
      </c>
      <c r="F103" s="137">
        <v>0.95</v>
      </c>
      <c r="G103" s="69">
        <v>0.95</v>
      </c>
      <c r="H103" s="54">
        <v>95</v>
      </c>
      <c r="I103" s="97">
        <v>0.95</v>
      </c>
    </row>
    <row r="104" spans="2:9" x14ac:dyDescent="0.2">
      <c r="B104" s="244"/>
      <c r="C104" s="9" t="s">
        <v>217</v>
      </c>
      <c r="D104" s="10" t="s">
        <v>218</v>
      </c>
      <c r="E104" s="6" t="s">
        <v>126</v>
      </c>
      <c r="F104" s="135">
        <v>50</v>
      </c>
      <c r="G104" s="69">
        <v>50</v>
      </c>
      <c r="H104" s="50">
        <v>50</v>
      </c>
      <c r="I104" s="92">
        <v>50</v>
      </c>
    </row>
    <row r="105" spans="2:9" x14ac:dyDescent="0.2">
      <c r="B105" s="244"/>
      <c r="C105" s="9" t="s">
        <v>219</v>
      </c>
      <c r="D105" s="10" t="s">
        <v>220</v>
      </c>
      <c r="E105" s="6" t="s">
        <v>173</v>
      </c>
      <c r="F105" s="135">
        <v>6</v>
      </c>
      <c r="G105" s="69"/>
      <c r="H105" s="50">
        <v>6.3280560000000001</v>
      </c>
      <c r="I105" s="92">
        <v>5.0624348369999996</v>
      </c>
    </row>
    <row r="106" spans="2:9" x14ac:dyDescent="0.2">
      <c r="B106" s="244"/>
      <c r="C106" s="9" t="s">
        <v>221</v>
      </c>
      <c r="D106" s="40" t="s">
        <v>222</v>
      </c>
      <c r="E106" s="6" t="s">
        <v>126</v>
      </c>
      <c r="F106" s="135">
        <v>24.6</v>
      </c>
      <c r="G106" s="69">
        <v>24.57</v>
      </c>
      <c r="H106" s="50">
        <v>24.568999999999999</v>
      </c>
      <c r="I106" s="93">
        <v>24.569012239999999</v>
      </c>
    </row>
    <row r="107" spans="2:9" x14ac:dyDescent="0.2">
      <c r="B107" s="244"/>
      <c r="C107" s="9" t="s">
        <v>223</v>
      </c>
      <c r="D107" s="40" t="s">
        <v>224</v>
      </c>
      <c r="E107" s="6" t="s">
        <v>182</v>
      </c>
      <c r="F107" s="135">
        <v>155.49999999385801</v>
      </c>
      <c r="G107" s="69">
        <v>155.47</v>
      </c>
      <c r="H107" s="50">
        <v>155.47399999999999</v>
      </c>
      <c r="I107" s="93">
        <v>155.47377929999999</v>
      </c>
    </row>
    <row r="108" spans="2:9" x14ac:dyDescent="0.2">
      <c r="B108" s="244"/>
      <c r="C108" s="9"/>
      <c r="D108" s="10" t="s">
        <v>225</v>
      </c>
      <c r="E108" s="6"/>
      <c r="F108" s="135">
        <v>199.25347051939599</v>
      </c>
      <c r="G108" s="70">
        <v>255.17</v>
      </c>
      <c r="H108" s="50">
        <v>240.5429</v>
      </c>
      <c r="I108" s="92"/>
    </row>
    <row r="109" spans="2:9" x14ac:dyDescent="0.2">
      <c r="B109" s="244"/>
      <c r="C109" s="9" t="s">
        <v>226</v>
      </c>
      <c r="D109" s="10" t="s">
        <v>227</v>
      </c>
      <c r="E109" s="6" t="s">
        <v>136</v>
      </c>
      <c r="F109" s="135" t="s">
        <v>136</v>
      </c>
      <c r="G109" s="69">
        <v>2000</v>
      </c>
      <c r="H109" s="50">
        <v>2000</v>
      </c>
      <c r="I109" s="92">
        <v>2000</v>
      </c>
    </row>
    <row r="110" spans="2:9" ht="16" thickBot="1" x14ac:dyDescent="0.25">
      <c r="B110" s="237"/>
      <c r="C110" s="24" t="s">
        <v>228</v>
      </c>
      <c r="D110" s="15" t="s">
        <v>229</v>
      </c>
      <c r="E110" s="25" t="s">
        <v>136</v>
      </c>
      <c r="F110" s="139">
        <v>1</v>
      </c>
      <c r="G110" s="109">
        <v>3</v>
      </c>
      <c r="H110" s="110">
        <v>2</v>
      </c>
      <c r="I110" s="111">
        <v>3</v>
      </c>
    </row>
    <row r="111" spans="2:9" ht="16" x14ac:dyDescent="0.2">
      <c r="D111" s="1" t="s">
        <v>230</v>
      </c>
      <c r="G111" s="71"/>
      <c r="H111" s="37">
        <v>227</v>
      </c>
      <c r="I111" s="41">
        <v>0.84</v>
      </c>
    </row>
    <row r="112" spans="2:9" x14ac:dyDescent="0.2">
      <c r="G112" s="67"/>
    </row>
    <row r="113" spans="2:14" x14ac:dyDescent="0.2">
      <c r="G113" s="67"/>
    </row>
    <row r="114" spans="2:14" x14ac:dyDescent="0.2">
      <c r="G114" s="67"/>
    </row>
    <row r="115" spans="2:14" s="1" customFormat="1" x14ac:dyDescent="0.2">
      <c r="B115"/>
      <c r="F115" s="37"/>
      <c r="G115" s="67"/>
      <c r="H115" s="37">
        <f>H107/H106</f>
        <v>6.3280556799218521</v>
      </c>
      <c r="I115" s="38"/>
      <c r="J115"/>
      <c r="K115"/>
      <c r="L115"/>
      <c r="M115"/>
      <c r="N115"/>
    </row>
    <row r="116" spans="2:14" s="1" customFormat="1" x14ac:dyDescent="0.2">
      <c r="B116"/>
      <c r="F116" s="37"/>
      <c r="G116" s="67"/>
      <c r="H116" s="37"/>
      <c r="I116" s="38"/>
      <c r="J116"/>
      <c r="K116"/>
      <c r="L116"/>
      <c r="M116"/>
      <c r="N116"/>
    </row>
    <row r="117" spans="2:14" s="1" customFormat="1" x14ac:dyDescent="0.2">
      <c r="B117"/>
      <c r="F117" s="37"/>
      <c r="G117" s="67"/>
      <c r="H117" s="37"/>
      <c r="I117" s="38"/>
      <c r="J117"/>
      <c r="K117"/>
      <c r="L117"/>
      <c r="M117"/>
      <c r="N117"/>
    </row>
    <row r="118" spans="2:14" s="1" customFormat="1" x14ac:dyDescent="0.2">
      <c r="B118"/>
      <c r="F118" s="37"/>
      <c r="G118" s="67"/>
      <c r="H118" s="37"/>
      <c r="I118" s="38"/>
      <c r="J118"/>
      <c r="K118"/>
      <c r="L118"/>
      <c r="M118"/>
      <c r="N118"/>
    </row>
    <row r="119" spans="2:14" s="1" customFormat="1" x14ac:dyDescent="0.2">
      <c r="B119"/>
      <c r="F119" s="37"/>
      <c r="G119" s="67"/>
      <c r="H119" s="37"/>
      <c r="I119" s="38"/>
      <c r="J119"/>
      <c r="K119"/>
      <c r="L119"/>
      <c r="M119"/>
      <c r="N119"/>
    </row>
    <row r="120" spans="2:14" x14ac:dyDescent="0.2">
      <c r="G120" s="67"/>
    </row>
    <row r="121" spans="2:14" s="1" customFormat="1" x14ac:dyDescent="0.2">
      <c r="B121"/>
      <c r="F121" s="37"/>
      <c r="G121" s="67"/>
      <c r="H121" s="37"/>
      <c r="I121" s="39"/>
      <c r="J121"/>
      <c r="K121"/>
      <c r="L121"/>
      <c r="M121"/>
      <c r="N121"/>
    </row>
    <row r="122" spans="2:14" x14ac:dyDescent="0.2">
      <c r="G122" s="67"/>
    </row>
    <row r="123" spans="2:14" x14ac:dyDescent="0.2">
      <c r="G123" s="67"/>
    </row>
    <row r="124" spans="2:14" x14ac:dyDescent="0.2">
      <c r="G124" s="67"/>
    </row>
    <row r="125" spans="2:14" x14ac:dyDescent="0.2">
      <c r="G125" s="67"/>
    </row>
    <row r="126" spans="2:14" x14ac:dyDescent="0.2">
      <c r="G126" s="67"/>
    </row>
    <row r="127" spans="2:14" s="1" customFormat="1" x14ac:dyDescent="0.2">
      <c r="B127"/>
      <c r="F127" s="37"/>
      <c r="G127" s="67"/>
      <c r="H127" s="37"/>
      <c r="I127" s="38"/>
      <c r="J127"/>
      <c r="K127"/>
      <c r="L127"/>
      <c r="M127"/>
      <c r="N127"/>
    </row>
    <row r="128" spans="2:14" x14ac:dyDescent="0.2">
      <c r="G128" s="67"/>
    </row>
    <row r="129" spans="2:14" x14ac:dyDescent="0.2">
      <c r="G129" s="67"/>
    </row>
    <row r="130" spans="2:14" x14ac:dyDescent="0.2">
      <c r="G130" s="67"/>
    </row>
    <row r="131" spans="2:14" x14ac:dyDescent="0.2">
      <c r="G131" s="67"/>
    </row>
    <row r="132" spans="2:14" x14ac:dyDescent="0.2">
      <c r="G132" s="67"/>
    </row>
    <row r="133" spans="2:14" s="1" customFormat="1" x14ac:dyDescent="0.2">
      <c r="B133"/>
      <c r="F133" s="37"/>
      <c r="G133" s="67"/>
      <c r="H133" s="37"/>
      <c r="I133" s="38"/>
      <c r="J133"/>
      <c r="K133"/>
      <c r="L133"/>
      <c r="M133"/>
      <c r="N133"/>
    </row>
    <row r="134" spans="2:14" s="1" customFormat="1" x14ac:dyDescent="0.2">
      <c r="B134"/>
      <c r="F134" s="37"/>
      <c r="G134" s="67"/>
      <c r="H134" s="37"/>
      <c r="I134" s="38"/>
      <c r="J134"/>
      <c r="K134"/>
      <c r="L134"/>
      <c r="M134"/>
      <c r="N134"/>
    </row>
    <row r="135" spans="2:14" s="1" customFormat="1" x14ac:dyDescent="0.2">
      <c r="B135"/>
      <c r="F135" s="37"/>
      <c r="G135" s="67"/>
      <c r="H135" s="37"/>
      <c r="I135" s="38"/>
      <c r="J135"/>
      <c r="K135"/>
      <c r="L135"/>
      <c r="M135"/>
      <c r="N135"/>
    </row>
    <row r="136" spans="2:14" s="1" customFormat="1" x14ac:dyDescent="0.2">
      <c r="B136"/>
      <c r="F136" s="37"/>
      <c r="G136" s="67"/>
      <c r="H136" s="37"/>
      <c r="I136" s="38"/>
      <c r="J136"/>
      <c r="K136"/>
      <c r="L136"/>
      <c r="M136"/>
      <c r="N136"/>
    </row>
    <row r="137" spans="2:14" s="1" customFormat="1" x14ac:dyDescent="0.2">
      <c r="B137"/>
      <c r="F137" s="37"/>
      <c r="G137" s="67"/>
      <c r="H137" s="37"/>
      <c r="I137" s="38"/>
      <c r="J137"/>
      <c r="K137"/>
      <c r="L137"/>
      <c r="M137"/>
      <c r="N137"/>
    </row>
    <row r="138" spans="2:14" s="1" customFormat="1" x14ac:dyDescent="0.2">
      <c r="B138"/>
      <c r="F138" s="37"/>
      <c r="G138" s="67"/>
      <c r="H138" s="37"/>
      <c r="I138" s="38"/>
      <c r="J138"/>
      <c r="K138"/>
      <c r="L138"/>
      <c r="M138"/>
      <c r="N138"/>
    </row>
  </sheetData>
  <mergeCells count="8">
    <mergeCell ref="F2:I2"/>
    <mergeCell ref="E2:E3"/>
    <mergeCell ref="B4:B30"/>
    <mergeCell ref="B31:B60"/>
    <mergeCell ref="B61:B110"/>
    <mergeCell ref="B2:B3"/>
    <mergeCell ref="C2:C3"/>
    <mergeCell ref="D2:D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A35DD7-7689-437B-82AC-10E1445EED5C}">
  <dimension ref="B1:N138"/>
  <sheetViews>
    <sheetView topLeftCell="D1" zoomScale="85" zoomScaleNormal="85" workbookViewId="0">
      <selection activeCell="F4" sqref="F4"/>
    </sheetView>
  </sheetViews>
  <sheetFormatPr baseColWidth="10" defaultColWidth="8.83203125" defaultRowHeight="15" x14ac:dyDescent="0.2"/>
  <cols>
    <col min="2" max="2" width="16.83203125" customWidth="1"/>
    <col min="3" max="3" width="20.1640625" style="1" customWidth="1"/>
    <col min="4" max="4" width="43" style="1" customWidth="1"/>
    <col min="5" max="5" width="12.5" style="1" customWidth="1"/>
    <col min="6" max="6" width="17.5" style="37" customWidth="1"/>
    <col min="7" max="7" width="19.1640625" style="37" customWidth="1"/>
    <col min="8" max="8" width="14.83203125" style="37" customWidth="1"/>
    <col min="9" max="9" width="16.1640625" style="38" customWidth="1"/>
  </cols>
  <sheetData>
    <row r="1" spans="2:9" ht="16" thickBot="1" x14ac:dyDescent="0.25">
      <c r="F1"/>
      <c r="G1"/>
      <c r="H1"/>
      <c r="I1" s="1"/>
    </row>
    <row r="2" spans="2:9" ht="16" thickBot="1" x14ac:dyDescent="0.25">
      <c r="B2" s="245" t="s">
        <v>0</v>
      </c>
      <c r="C2" s="247" t="s">
        <v>1</v>
      </c>
      <c r="D2" s="249" t="s">
        <v>2</v>
      </c>
      <c r="E2" s="236" t="s">
        <v>3</v>
      </c>
      <c r="F2" s="238" t="s">
        <v>4</v>
      </c>
      <c r="G2" s="239"/>
      <c r="H2" s="239"/>
      <c r="I2" s="240"/>
    </row>
    <row r="3" spans="2:9" s="1" customFormat="1" ht="16" thickBot="1" x14ac:dyDescent="0.25">
      <c r="B3" s="246"/>
      <c r="C3" s="248"/>
      <c r="D3" s="250"/>
      <c r="E3" s="237"/>
      <c r="F3" s="62" t="s">
        <v>237</v>
      </c>
      <c r="G3" s="66" t="s">
        <v>238</v>
      </c>
      <c r="H3" s="62" t="s">
        <v>239</v>
      </c>
      <c r="I3" s="42" t="s">
        <v>240</v>
      </c>
    </row>
    <row r="4" spans="2:9" x14ac:dyDescent="0.2">
      <c r="B4" s="241" t="s">
        <v>5</v>
      </c>
      <c r="C4" s="4" t="s">
        <v>6</v>
      </c>
      <c r="D4" s="5" t="s">
        <v>7</v>
      </c>
      <c r="E4" s="6" t="s">
        <v>8</v>
      </c>
      <c r="F4" s="73">
        <v>265.78980491019701</v>
      </c>
      <c r="G4" s="73">
        <v>249.74</v>
      </c>
      <c r="H4" s="43">
        <v>266.53109999999998</v>
      </c>
      <c r="I4" s="84">
        <v>256.545106874954</v>
      </c>
    </row>
    <row r="5" spans="2:9" x14ac:dyDescent="0.2">
      <c r="B5" s="242"/>
      <c r="C5" s="9"/>
      <c r="D5" s="10" t="s">
        <v>9</v>
      </c>
      <c r="E5" s="6" t="s">
        <v>10</v>
      </c>
      <c r="F5" s="74"/>
      <c r="G5" s="74" t="s">
        <v>231</v>
      </c>
      <c r="H5" s="44">
        <v>346.83730000000003</v>
      </c>
      <c r="I5" s="85">
        <v>451.39626470926902</v>
      </c>
    </row>
    <row r="6" spans="2:9" x14ac:dyDescent="0.2">
      <c r="B6" s="242"/>
      <c r="C6" s="9" t="s">
        <v>11</v>
      </c>
      <c r="D6" s="10" t="s">
        <v>12</v>
      </c>
      <c r="E6" s="6" t="s">
        <v>13</v>
      </c>
      <c r="F6" s="79">
        <v>0.76509612978404196</v>
      </c>
      <c r="G6" s="79">
        <v>0.72</v>
      </c>
      <c r="H6" s="59">
        <v>0.76722800000000002</v>
      </c>
      <c r="I6" s="90">
        <v>0.73848456471601198</v>
      </c>
    </row>
    <row r="7" spans="2:9" x14ac:dyDescent="0.2">
      <c r="B7" s="242"/>
      <c r="C7" s="9" t="s">
        <v>14</v>
      </c>
      <c r="D7" s="10" t="s">
        <v>15</v>
      </c>
      <c r="E7" s="6" t="s">
        <v>16</v>
      </c>
      <c r="F7" s="76">
        <v>-138.58705492138</v>
      </c>
      <c r="G7" s="76">
        <v>-149.19</v>
      </c>
      <c r="H7" s="46">
        <v>-130.86600000000001</v>
      </c>
      <c r="I7" s="87">
        <v>-145.26679110125801</v>
      </c>
    </row>
    <row r="8" spans="2:9" x14ac:dyDescent="0.2">
      <c r="B8" s="242"/>
      <c r="C8" s="9" t="s">
        <v>17</v>
      </c>
      <c r="D8" s="10" t="s">
        <v>18</v>
      </c>
      <c r="E8" s="6" t="s">
        <v>19</v>
      </c>
      <c r="F8" s="74">
        <v>0</v>
      </c>
      <c r="G8" s="74" t="s">
        <v>231</v>
      </c>
      <c r="H8" s="44">
        <v>0</v>
      </c>
      <c r="I8" s="85">
        <v>0</v>
      </c>
    </row>
    <row r="9" spans="2:9" x14ac:dyDescent="0.2">
      <c r="B9" s="242"/>
      <c r="C9" s="9"/>
      <c r="D9" s="10" t="s">
        <v>20</v>
      </c>
      <c r="E9" s="6" t="s">
        <v>19</v>
      </c>
      <c r="F9" s="74">
        <v>83.934515325439705</v>
      </c>
      <c r="G9" s="74">
        <v>88.55</v>
      </c>
      <c r="H9" s="44">
        <v>81.946209999999994</v>
      </c>
      <c r="I9" s="85">
        <v>86.926000000000002</v>
      </c>
    </row>
    <row r="10" spans="2:9" x14ac:dyDescent="0.2">
      <c r="B10" s="242"/>
      <c r="C10" s="9" t="s">
        <v>21</v>
      </c>
      <c r="D10" s="10" t="s">
        <v>22</v>
      </c>
      <c r="E10" s="6" t="s">
        <v>16</v>
      </c>
      <c r="F10" s="74">
        <v>300.97717986370799</v>
      </c>
      <c r="G10" s="74">
        <v>297.08</v>
      </c>
      <c r="H10" s="44">
        <v>294.06310000000002</v>
      </c>
      <c r="I10" s="85">
        <v>299.78465533807901</v>
      </c>
    </row>
    <row r="11" spans="2:9" x14ac:dyDescent="0.2">
      <c r="B11" s="242"/>
      <c r="C11" s="9" t="s">
        <v>23</v>
      </c>
      <c r="D11" s="10" t="s">
        <v>24</v>
      </c>
      <c r="E11" s="6" t="s">
        <v>25</v>
      </c>
      <c r="F11" s="74">
        <f>2.24000636422898*1000</f>
        <v>2240.0063642289801</v>
      </c>
      <c r="G11" s="74">
        <v>2305.87</v>
      </c>
      <c r="H11" s="44">
        <v>2233.3110000000001</v>
      </c>
      <c r="I11" s="85">
        <v>2311.1309999999999</v>
      </c>
    </row>
    <row r="12" spans="2:9" x14ac:dyDescent="0.2">
      <c r="B12" s="242"/>
      <c r="C12" s="9"/>
      <c r="D12" s="10" t="s">
        <v>26</v>
      </c>
      <c r="E12" s="6" t="s">
        <v>25</v>
      </c>
      <c r="F12" s="74">
        <f>13.0680578615378*1000</f>
        <v>13068.0578615378</v>
      </c>
      <c r="G12" s="74">
        <v>12167.07</v>
      </c>
      <c r="H12" s="44">
        <v>13115.17</v>
      </c>
      <c r="I12" s="85">
        <v>12614.26677</v>
      </c>
    </row>
    <row r="13" spans="2:9" x14ac:dyDescent="0.2">
      <c r="B13" s="242"/>
      <c r="C13" s="9" t="s">
        <v>27</v>
      </c>
      <c r="D13" s="10" t="s">
        <v>28</v>
      </c>
      <c r="E13" s="6" t="s">
        <v>13</v>
      </c>
      <c r="F13" s="103">
        <v>0</v>
      </c>
      <c r="G13" s="103" t="s">
        <v>231</v>
      </c>
      <c r="H13" s="60">
        <v>0</v>
      </c>
      <c r="I13" s="107">
        <v>0</v>
      </c>
    </row>
    <row r="14" spans="2:9" x14ac:dyDescent="0.2">
      <c r="B14" s="242"/>
      <c r="C14" s="9" t="s">
        <v>29</v>
      </c>
      <c r="D14" s="10" t="s">
        <v>30</v>
      </c>
      <c r="E14" s="6" t="s">
        <v>13</v>
      </c>
      <c r="F14" s="103">
        <v>0</v>
      </c>
      <c r="G14" s="103" t="s">
        <v>231</v>
      </c>
      <c r="H14" s="60">
        <v>0</v>
      </c>
      <c r="I14" s="107">
        <v>0</v>
      </c>
    </row>
    <row r="15" spans="2:9" x14ac:dyDescent="0.2">
      <c r="B15" s="242"/>
      <c r="C15" s="9" t="s">
        <v>31</v>
      </c>
      <c r="D15" s="10" t="s">
        <v>32</v>
      </c>
      <c r="E15" s="6" t="s">
        <v>13</v>
      </c>
      <c r="F15" s="103">
        <v>0</v>
      </c>
      <c r="G15" s="103" t="s">
        <v>231</v>
      </c>
      <c r="H15" s="60">
        <v>0</v>
      </c>
      <c r="I15" s="107">
        <v>0</v>
      </c>
    </row>
    <row r="16" spans="2:9" x14ac:dyDescent="0.2">
      <c r="B16" s="242"/>
      <c r="C16" s="9" t="s">
        <v>33</v>
      </c>
      <c r="D16" s="10" t="s">
        <v>34</v>
      </c>
      <c r="E16" s="6" t="s">
        <v>35</v>
      </c>
      <c r="F16" s="74">
        <v>2221.3204986903002</v>
      </c>
      <c r="G16" s="74">
        <v>2153.33</v>
      </c>
      <c r="H16" s="44">
        <v>2104.078</v>
      </c>
      <c r="I16" s="85">
        <v>2153</v>
      </c>
    </row>
    <row r="17" spans="2:9" x14ac:dyDescent="0.2">
      <c r="B17" s="242"/>
      <c r="C17" s="9" t="s">
        <v>36</v>
      </c>
      <c r="D17" s="10" t="s">
        <v>37</v>
      </c>
      <c r="E17" s="6" t="s">
        <v>13</v>
      </c>
      <c r="F17" s="79">
        <v>0.38371345800000001</v>
      </c>
      <c r="G17" s="79">
        <v>0.38</v>
      </c>
      <c r="H17" s="59">
        <v>0.38906299999999999</v>
      </c>
      <c r="I17" s="90">
        <v>0.38369999999999999</v>
      </c>
    </row>
    <row r="18" spans="2:9" x14ac:dyDescent="0.2">
      <c r="B18" s="242"/>
      <c r="C18" s="9" t="s">
        <v>38</v>
      </c>
      <c r="D18" s="10" t="s">
        <v>39</v>
      </c>
      <c r="E18" s="6" t="s">
        <v>13</v>
      </c>
      <c r="F18" s="75">
        <v>0.5191795860674</v>
      </c>
      <c r="G18" s="75">
        <v>0.56200000000000006</v>
      </c>
      <c r="H18" s="45">
        <v>0.516486</v>
      </c>
      <c r="I18" s="86">
        <v>0.62988</v>
      </c>
    </row>
    <row r="19" spans="2:9" x14ac:dyDescent="0.2">
      <c r="B19" s="242"/>
      <c r="C19" s="9" t="s">
        <v>40</v>
      </c>
      <c r="D19" s="10" t="s">
        <v>41</v>
      </c>
      <c r="E19" s="6" t="s">
        <v>13</v>
      </c>
      <c r="F19" s="75">
        <v>0.480820413932599</v>
      </c>
      <c r="G19" s="75">
        <v>0.438</v>
      </c>
      <c r="H19" s="45">
        <v>0.483514</v>
      </c>
      <c r="I19" s="86">
        <v>0.37010999999999999</v>
      </c>
    </row>
    <row r="20" spans="2:9" x14ac:dyDescent="0.2">
      <c r="B20" s="242"/>
      <c r="C20" s="9" t="s">
        <v>42</v>
      </c>
      <c r="D20" s="10" t="s">
        <v>43</v>
      </c>
      <c r="E20" s="6" t="s">
        <v>13</v>
      </c>
      <c r="F20" s="79">
        <v>0</v>
      </c>
      <c r="G20" s="79">
        <v>0</v>
      </c>
      <c r="H20" s="59">
        <v>0</v>
      </c>
      <c r="I20" s="90">
        <v>0</v>
      </c>
    </row>
    <row r="21" spans="2:9" x14ac:dyDescent="0.2">
      <c r="B21" s="242"/>
      <c r="C21" s="9"/>
      <c r="D21" s="10" t="s">
        <v>44</v>
      </c>
      <c r="E21" s="6" t="s">
        <v>8</v>
      </c>
      <c r="F21" s="74">
        <v>137.99264089421101</v>
      </c>
      <c r="G21" s="74">
        <v>140.43</v>
      </c>
      <c r="H21" s="44">
        <v>137.65969999999999</v>
      </c>
      <c r="I21" s="85">
        <v>161.59</v>
      </c>
    </row>
    <row r="22" spans="2:9" x14ac:dyDescent="0.2">
      <c r="B22" s="242"/>
      <c r="C22" s="9"/>
      <c r="D22" s="10" t="s">
        <v>45</v>
      </c>
      <c r="E22" s="6" t="s">
        <v>8</v>
      </c>
      <c r="F22" s="74">
        <v>127.797164015985</v>
      </c>
      <c r="G22" s="74">
        <v>109.31</v>
      </c>
      <c r="H22" s="44">
        <v>128.87139999999999</v>
      </c>
      <c r="I22" s="85">
        <v>94.951999999999998</v>
      </c>
    </row>
    <row r="23" spans="2:9" x14ac:dyDescent="0.2">
      <c r="B23" s="242"/>
      <c r="C23" s="9"/>
      <c r="D23" s="10" t="s">
        <v>46</v>
      </c>
      <c r="E23" s="6" t="s">
        <v>8</v>
      </c>
      <c r="F23" s="74">
        <v>0</v>
      </c>
      <c r="G23" s="74">
        <v>0</v>
      </c>
      <c r="H23" s="44">
        <v>0</v>
      </c>
      <c r="I23" s="85">
        <v>0</v>
      </c>
    </row>
    <row r="24" spans="2:9" x14ac:dyDescent="0.2">
      <c r="B24" s="242"/>
      <c r="C24" s="9" t="s">
        <v>47</v>
      </c>
      <c r="D24" s="10" t="s">
        <v>48</v>
      </c>
      <c r="E24" s="6" t="s">
        <v>8</v>
      </c>
      <c r="F24" s="74">
        <v>65.222540887204602</v>
      </c>
      <c r="G24" s="74">
        <v>66.849999999999994</v>
      </c>
      <c r="H24" s="44">
        <v>52.087670000000003</v>
      </c>
      <c r="I24" s="85">
        <v>91.45</v>
      </c>
    </row>
    <row r="25" spans="2:9" x14ac:dyDescent="0.2">
      <c r="B25" s="242"/>
      <c r="C25" s="9" t="s">
        <v>49</v>
      </c>
      <c r="D25" s="10" t="s">
        <v>50</v>
      </c>
      <c r="E25" s="6" t="s">
        <v>8</v>
      </c>
      <c r="F25" s="74">
        <v>0</v>
      </c>
      <c r="G25" s="74" t="s">
        <v>231</v>
      </c>
      <c r="H25" s="44">
        <v>0</v>
      </c>
      <c r="I25" s="85">
        <v>0</v>
      </c>
    </row>
    <row r="26" spans="2:9" x14ac:dyDescent="0.2">
      <c r="B26" s="242"/>
      <c r="C26" s="9" t="s">
        <v>51</v>
      </c>
      <c r="D26" s="10" t="s">
        <v>52</v>
      </c>
      <c r="E26" s="6" t="s">
        <v>8</v>
      </c>
      <c r="F26" s="74">
        <v>0</v>
      </c>
      <c r="G26" s="74">
        <v>0</v>
      </c>
      <c r="H26" s="44">
        <v>0</v>
      </c>
      <c r="I26" s="85">
        <v>0</v>
      </c>
    </row>
    <row r="27" spans="2:9" x14ac:dyDescent="0.2">
      <c r="B27" s="242"/>
      <c r="C27" s="9" t="s">
        <v>53</v>
      </c>
      <c r="D27" s="10" t="s">
        <v>54</v>
      </c>
      <c r="E27" s="6" t="s">
        <v>13</v>
      </c>
      <c r="F27" s="103">
        <f>F4/(F94+F95)/8760*1000</f>
        <v>0.27126778659264894</v>
      </c>
      <c r="G27" s="103">
        <v>0.25</v>
      </c>
      <c r="H27" s="60">
        <v>0.27200000000000002</v>
      </c>
      <c r="I27" s="107">
        <v>0.28647</v>
      </c>
    </row>
    <row r="28" spans="2:9" x14ac:dyDescent="0.2">
      <c r="B28" s="242"/>
      <c r="C28" s="9" t="s">
        <v>55</v>
      </c>
      <c r="D28" s="10" t="s">
        <v>56</v>
      </c>
      <c r="E28" s="6" t="s">
        <v>13</v>
      </c>
      <c r="F28" s="103">
        <f>F4*F18/F94/8760*1000</f>
        <v>0.58342905840610138</v>
      </c>
      <c r="G28" s="103">
        <v>0.59</v>
      </c>
      <c r="H28" s="60">
        <v>0.58180600000000005</v>
      </c>
      <c r="I28" s="107">
        <v>0.65017000000000003</v>
      </c>
    </row>
    <row r="29" spans="2:9" x14ac:dyDescent="0.2">
      <c r="B29" s="242"/>
      <c r="C29" s="9" t="s">
        <v>57</v>
      </c>
      <c r="D29" s="10" t="s">
        <v>58</v>
      </c>
      <c r="E29" s="6" t="s">
        <v>13</v>
      </c>
      <c r="F29" s="103">
        <f>F4*F19/F95/8760*1000</f>
        <v>0.17193538424776689</v>
      </c>
      <c r="G29" s="103">
        <v>0.15</v>
      </c>
      <c r="H29" s="60">
        <v>0.24345800000000001</v>
      </c>
      <c r="I29" s="107">
        <v>9.826E-2</v>
      </c>
    </row>
    <row r="30" spans="2:9" ht="16" thickBot="1" x14ac:dyDescent="0.25">
      <c r="B30" s="243"/>
      <c r="C30" s="9" t="s">
        <v>59</v>
      </c>
      <c r="D30" s="15" t="s">
        <v>60</v>
      </c>
      <c r="E30" s="6" t="s">
        <v>13</v>
      </c>
      <c r="F30" s="103">
        <v>0</v>
      </c>
      <c r="G30" s="103">
        <v>0</v>
      </c>
      <c r="H30" s="60">
        <v>0</v>
      </c>
      <c r="I30" s="107"/>
    </row>
    <row r="31" spans="2:9" x14ac:dyDescent="0.2">
      <c r="B31" s="236" t="s">
        <v>61</v>
      </c>
      <c r="C31" s="4" t="s">
        <v>62</v>
      </c>
      <c r="D31" s="10" t="s">
        <v>63</v>
      </c>
      <c r="E31" s="16" t="s">
        <v>16</v>
      </c>
      <c r="F31" s="49">
        <v>240.69420253507801</v>
      </c>
      <c r="G31" s="49">
        <v>236.3891289</v>
      </c>
      <c r="H31" s="49">
        <v>233.9624</v>
      </c>
      <c r="I31" s="91">
        <v>239.53700000000001</v>
      </c>
    </row>
    <row r="32" spans="2:9" x14ac:dyDescent="0.2">
      <c r="B32" s="244"/>
      <c r="C32" s="9" t="s">
        <v>64</v>
      </c>
      <c r="D32" s="10" t="s">
        <v>65</v>
      </c>
      <c r="E32" s="6" t="s">
        <v>16</v>
      </c>
      <c r="F32" s="50">
        <v>60.282977328629997</v>
      </c>
      <c r="G32" s="50">
        <v>60.68636377</v>
      </c>
      <c r="H32" s="50">
        <v>60.100679999999997</v>
      </c>
      <c r="I32" s="92">
        <v>60.247</v>
      </c>
    </row>
    <row r="33" spans="2:9" x14ac:dyDescent="0.2">
      <c r="B33" s="244"/>
      <c r="C33" s="9" t="s">
        <v>66</v>
      </c>
      <c r="D33" s="10" t="s">
        <v>67</v>
      </c>
      <c r="E33" s="6" t="s">
        <v>16</v>
      </c>
      <c r="F33" s="35">
        <v>0</v>
      </c>
      <c r="G33" s="35">
        <v>0</v>
      </c>
      <c r="H33" s="35">
        <v>0</v>
      </c>
      <c r="I33" s="93"/>
    </row>
    <row r="34" spans="2:9" x14ac:dyDescent="0.2">
      <c r="B34" s="244"/>
      <c r="C34" s="9" t="s">
        <v>68</v>
      </c>
      <c r="D34" s="10" t="s">
        <v>69</v>
      </c>
      <c r="E34" s="6" t="s">
        <v>16</v>
      </c>
      <c r="F34" s="35">
        <v>15.1642163355523</v>
      </c>
      <c r="G34" s="35">
        <v>14.910860509999999</v>
      </c>
      <c r="H34" s="35">
        <v>14.88476</v>
      </c>
      <c r="I34" s="93">
        <v>14.85</v>
      </c>
    </row>
    <row r="35" spans="2:9" x14ac:dyDescent="0.2">
      <c r="B35" s="244"/>
      <c r="C35" s="9" t="s">
        <v>70</v>
      </c>
      <c r="D35" s="10" t="s">
        <v>71</v>
      </c>
      <c r="E35" s="6" t="s">
        <v>16</v>
      </c>
      <c r="F35" s="50">
        <v>42.749651539579403</v>
      </c>
      <c r="G35" s="50">
        <v>41.787374730000003</v>
      </c>
      <c r="H35" s="50">
        <v>41.555459999999997</v>
      </c>
      <c r="I35" s="92">
        <v>42.381999999999998</v>
      </c>
    </row>
    <row r="36" spans="2:9" x14ac:dyDescent="0.2">
      <c r="B36" s="244"/>
      <c r="C36" s="9" t="s">
        <v>72</v>
      </c>
      <c r="D36" s="10" t="s">
        <v>73</v>
      </c>
      <c r="E36" s="6" t="s">
        <v>16</v>
      </c>
      <c r="F36" s="35">
        <v>49.267860850354303</v>
      </c>
      <c r="G36" s="35">
        <v>47.916803459999997</v>
      </c>
      <c r="H36" s="35">
        <v>47.593649999999997</v>
      </c>
      <c r="I36" s="93">
        <v>48.478000000000002</v>
      </c>
    </row>
    <row r="37" spans="2:9" x14ac:dyDescent="0.2">
      <c r="B37" s="244"/>
      <c r="C37" s="9" t="s">
        <v>74</v>
      </c>
      <c r="D37" s="10" t="s">
        <v>75</v>
      </c>
      <c r="E37" s="6" t="s">
        <v>16</v>
      </c>
      <c r="F37" s="50">
        <v>4.1385003114297598</v>
      </c>
      <c r="G37" s="50">
        <v>3.9930669550000002</v>
      </c>
      <c r="H37" s="50">
        <v>3.9661369999999998</v>
      </c>
      <c r="I37" s="92">
        <v>4.0397999999999996</v>
      </c>
    </row>
    <row r="38" spans="2:9" x14ac:dyDescent="0.2">
      <c r="B38" s="244"/>
      <c r="C38" s="9" t="s">
        <v>76</v>
      </c>
      <c r="D38" s="10" t="s">
        <v>77</v>
      </c>
      <c r="E38" s="6" t="s">
        <v>16</v>
      </c>
      <c r="F38" s="35">
        <v>23.1081908292098</v>
      </c>
      <c r="G38" s="35">
        <v>22.798818000000001</v>
      </c>
      <c r="H38" s="35">
        <v>22.79889</v>
      </c>
      <c r="I38" s="93">
        <v>24.216999999999999</v>
      </c>
    </row>
    <row r="39" spans="2:9" x14ac:dyDescent="0.2">
      <c r="B39" s="244"/>
      <c r="C39" s="9" t="s">
        <v>78</v>
      </c>
      <c r="D39" s="10" t="s">
        <v>79</v>
      </c>
      <c r="E39" s="6" t="s">
        <v>16</v>
      </c>
      <c r="F39" s="35">
        <v>59.975653466859598</v>
      </c>
      <c r="G39" s="35">
        <v>61.071219390000003</v>
      </c>
      <c r="H39" s="35">
        <v>59.69659</v>
      </c>
      <c r="I39" s="93">
        <v>61.085000000000001</v>
      </c>
    </row>
    <row r="40" spans="2:9" x14ac:dyDescent="0.2">
      <c r="B40" s="244"/>
      <c r="C40" s="9" t="s">
        <v>80</v>
      </c>
      <c r="D40" s="10" t="s">
        <v>81</v>
      </c>
      <c r="E40" s="6" t="s">
        <v>16</v>
      </c>
      <c r="F40" s="50">
        <v>0</v>
      </c>
      <c r="G40" s="50" t="s">
        <v>231</v>
      </c>
      <c r="H40" s="50">
        <v>0</v>
      </c>
      <c r="I40" s="92"/>
    </row>
    <row r="41" spans="2:9" x14ac:dyDescent="0.2">
      <c r="B41" s="244"/>
      <c r="C41" s="9" t="s">
        <v>82</v>
      </c>
      <c r="D41" s="10" t="s">
        <v>83</v>
      </c>
      <c r="E41" s="6" t="s">
        <v>16</v>
      </c>
      <c r="F41" s="50">
        <v>0</v>
      </c>
      <c r="G41" s="50" t="s">
        <v>231</v>
      </c>
      <c r="H41" s="50">
        <v>0</v>
      </c>
      <c r="I41" s="92"/>
    </row>
    <row r="42" spans="2:9" x14ac:dyDescent="0.2">
      <c r="B42" s="244"/>
      <c r="C42" s="9" t="s">
        <v>84</v>
      </c>
      <c r="D42" s="10" t="s">
        <v>85</v>
      </c>
      <c r="E42" s="6" t="s">
        <v>16</v>
      </c>
      <c r="F42" s="50">
        <v>5.6402374681656804</v>
      </c>
      <c r="G42" s="50">
        <v>5.4153572509999996</v>
      </c>
      <c r="H42" s="50">
        <v>5.36782</v>
      </c>
      <c r="I42" s="92">
        <v>5.4722</v>
      </c>
    </row>
    <row r="43" spans="2:9" x14ac:dyDescent="0.2">
      <c r="B43" s="244"/>
      <c r="C43" s="9" t="s">
        <v>86</v>
      </c>
      <c r="D43" s="10" t="s">
        <v>87</v>
      </c>
      <c r="E43" s="6" t="s">
        <v>25</v>
      </c>
      <c r="F43" s="51">
        <f>0.9072*1000</f>
        <v>907.2</v>
      </c>
      <c r="G43" s="51">
        <v>907.2</v>
      </c>
      <c r="H43" s="51">
        <v>907.53599999999994</v>
      </c>
      <c r="I43" s="94">
        <v>907.53599999999994</v>
      </c>
    </row>
    <row r="44" spans="2:9" x14ac:dyDescent="0.2">
      <c r="B44" s="244"/>
      <c r="C44" s="9" t="s">
        <v>88</v>
      </c>
      <c r="D44" s="10" t="s">
        <v>89</v>
      </c>
      <c r="E44" s="6" t="s">
        <v>25</v>
      </c>
      <c r="F44" s="51">
        <f>0.405698364228981*1000</f>
        <v>405.69836422898101</v>
      </c>
      <c r="G44" s="51">
        <v>463.79165849999998</v>
      </c>
      <c r="H44" s="51">
        <v>399.2131</v>
      </c>
      <c r="I44" s="94">
        <v>477.03</v>
      </c>
    </row>
    <row r="45" spans="2:9" x14ac:dyDescent="0.2">
      <c r="B45" s="244"/>
      <c r="C45" s="9" t="s">
        <v>90</v>
      </c>
      <c r="D45" s="10" t="s">
        <v>91</v>
      </c>
      <c r="E45" s="6" t="s">
        <v>16</v>
      </c>
      <c r="F45" s="50">
        <v>194.40407333298501</v>
      </c>
      <c r="G45" s="50">
        <v>192.47814299999999</v>
      </c>
      <c r="H45" s="50">
        <v>190.49549999999999</v>
      </c>
      <c r="I45" s="92">
        <v>195.054</v>
      </c>
    </row>
    <row r="46" spans="2:9" x14ac:dyDescent="0.2">
      <c r="B46" s="244"/>
      <c r="C46" s="9" t="s">
        <v>92</v>
      </c>
      <c r="D46" s="10" t="s">
        <v>93</v>
      </c>
      <c r="E46" s="6" t="s">
        <v>16</v>
      </c>
      <c r="F46" s="50">
        <v>25.959023999999999</v>
      </c>
      <c r="G46" s="50">
        <v>26.19766074</v>
      </c>
      <c r="H46" s="50">
        <v>25.943739999999998</v>
      </c>
      <c r="I46" s="92">
        <v>25.943000000000001</v>
      </c>
    </row>
    <row r="47" spans="2:9" x14ac:dyDescent="0.2">
      <c r="B47" s="244"/>
      <c r="C47" s="9" t="s">
        <v>94</v>
      </c>
      <c r="D47" s="10" t="s">
        <v>95</v>
      </c>
      <c r="E47" s="6" t="s">
        <v>16</v>
      </c>
      <c r="F47" s="50">
        <v>19.469268</v>
      </c>
      <c r="G47" s="50">
        <v>19.648245559999999</v>
      </c>
      <c r="H47" s="50">
        <v>19.457799999999999</v>
      </c>
      <c r="I47" s="92">
        <v>19.457000000000001</v>
      </c>
    </row>
    <row r="48" spans="2:9" x14ac:dyDescent="0.2">
      <c r="B48" s="244"/>
      <c r="C48" s="9" t="s">
        <v>96</v>
      </c>
      <c r="D48" s="10" t="s">
        <v>97</v>
      </c>
      <c r="E48" s="6" t="s">
        <v>16</v>
      </c>
      <c r="F48" s="51">
        <v>0</v>
      </c>
      <c r="G48" s="51">
        <v>0</v>
      </c>
      <c r="H48" s="51">
        <v>0</v>
      </c>
      <c r="I48" s="94"/>
    </row>
    <row r="49" spans="2:11" x14ac:dyDescent="0.2">
      <c r="B49" s="244"/>
      <c r="C49" s="9" t="s">
        <v>98</v>
      </c>
      <c r="D49" s="10" t="s">
        <v>99</v>
      </c>
      <c r="E49" s="6" t="s">
        <v>16</v>
      </c>
      <c r="F49" s="50">
        <v>3.5657999999999999</v>
      </c>
      <c r="G49" s="50">
        <v>3.5956682999999998</v>
      </c>
      <c r="H49" s="50">
        <v>3.5636999999999999</v>
      </c>
      <c r="I49" s="92">
        <v>3.5636999999999999</v>
      </c>
    </row>
    <row r="50" spans="2:11" x14ac:dyDescent="0.2">
      <c r="B50" s="244"/>
      <c r="C50" s="9" t="s">
        <v>100</v>
      </c>
      <c r="D50" s="10" t="s">
        <v>101</v>
      </c>
      <c r="E50" s="6" t="s">
        <v>16</v>
      </c>
      <c r="F50" s="50">
        <v>4.7726710926299996</v>
      </c>
      <c r="G50" s="50">
        <v>4.8173844690000003</v>
      </c>
      <c r="H50" s="50">
        <v>4.7699639999999999</v>
      </c>
      <c r="I50" s="92">
        <v>4.7698999999999998</v>
      </c>
    </row>
    <row r="51" spans="2:11" x14ac:dyDescent="0.2">
      <c r="B51" s="244"/>
      <c r="C51" s="9" t="s">
        <v>102</v>
      </c>
      <c r="D51" s="10" t="s">
        <v>103</v>
      </c>
      <c r="E51" s="6" t="s">
        <v>25</v>
      </c>
      <c r="F51" s="51">
        <v>927.10799999999904</v>
      </c>
      <c r="G51" s="51">
        <v>934.87375799999995</v>
      </c>
      <c r="H51" s="51">
        <v>926.56200000000001</v>
      </c>
      <c r="I51" s="94">
        <v>926.56200000000001</v>
      </c>
    </row>
    <row r="52" spans="2:11" x14ac:dyDescent="0.2">
      <c r="B52" s="244"/>
      <c r="C52" s="9" t="s">
        <v>104</v>
      </c>
      <c r="D52" s="10" t="s">
        <v>105</v>
      </c>
      <c r="E52" s="6" t="s">
        <v>16</v>
      </c>
      <c r="F52" s="50">
        <v>48.994092000000002</v>
      </c>
      <c r="G52" s="50">
        <v>49.441574600000003</v>
      </c>
      <c r="H52" s="50">
        <v>48.965240000000001</v>
      </c>
      <c r="I52" s="92">
        <v>48.965000000000003</v>
      </c>
    </row>
    <row r="53" spans="2:11" x14ac:dyDescent="0.2">
      <c r="B53" s="244"/>
      <c r="C53" s="9" t="s">
        <v>106</v>
      </c>
      <c r="D53" s="10" t="s">
        <v>107</v>
      </c>
      <c r="E53" s="6" t="s">
        <v>16</v>
      </c>
      <c r="F53" s="50">
        <v>0</v>
      </c>
      <c r="G53" s="50" t="s">
        <v>231</v>
      </c>
      <c r="H53" s="50">
        <v>0</v>
      </c>
      <c r="I53" s="92"/>
    </row>
    <row r="54" spans="2:11" x14ac:dyDescent="0.2">
      <c r="B54" s="244"/>
      <c r="C54" s="9" t="s">
        <v>108</v>
      </c>
      <c r="D54" s="10" t="s">
        <v>109</v>
      </c>
      <c r="E54" s="6" t="s">
        <v>16</v>
      </c>
      <c r="F54" s="50">
        <v>0</v>
      </c>
      <c r="G54" s="50" t="s">
        <v>231</v>
      </c>
      <c r="H54" s="50">
        <v>0</v>
      </c>
      <c r="I54" s="92"/>
    </row>
    <row r="55" spans="2:11" x14ac:dyDescent="0.2">
      <c r="B55" s="244"/>
      <c r="C55" s="9" t="s">
        <v>110</v>
      </c>
      <c r="D55" s="10" t="s">
        <v>111</v>
      </c>
      <c r="E55" s="6" t="s">
        <v>16</v>
      </c>
      <c r="F55" s="50">
        <v>0</v>
      </c>
      <c r="G55" s="50" t="s">
        <v>231</v>
      </c>
      <c r="H55" s="50">
        <v>0</v>
      </c>
      <c r="I55" s="92"/>
      <c r="K55" s="18"/>
    </row>
    <row r="56" spans="2:11" x14ac:dyDescent="0.2">
      <c r="B56" s="244"/>
      <c r="C56" s="9" t="s">
        <v>112</v>
      </c>
      <c r="D56" s="10" t="s">
        <v>113</v>
      </c>
      <c r="E56" s="6" t="s">
        <v>16</v>
      </c>
      <c r="F56" s="35">
        <v>0</v>
      </c>
      <c r="G56" s="35">
        <v>0</v>
      </c>
      <c r="H56" s="35">
        <v>0</v>
      </c>
      <c r="I56" s="93"/>
    </row>
    <row r="57" spans="2:11" x14ac:dyDescent="0.2">
      <c r="B57" s="244"/>
      <c r="C57" s="9" t="s">
        <v>114</v>
      </c>
      <c r="D57" s="10" t="s">
        <v>115</v>
      </c>
      <c r="E57" s="6" t="s">
        <v>25</v>
      </c>
      <c r="F57" s="35">
        <v>0</v>
      </c>
      <c r="G57" s="35" t="s">
        <v>231</v>
      </c>
      <c r="H57" s="35">
        <v>0</v>
      </c>
      <c r="I57" s="93"/>
    </row>
    <row r="58" spans="2:11" x14ac:dyDescent="0.2">
      <c r="B58" s="244"/>
      <c r="C58" s="9" t="s">
        <v>116</v>
      </c>
      <c r="D58" s="10" t="s">
        <v>117</v>
      </c>
      <c r="E58" s="20" t="s">
        <v>25</v>
      </c>
      <c r="F58" s="50">
        <v>0</v>
      </c>
      <c r="G58" s="50" t="s">
        <v>231</v>
      </c>
      <c r="H58" s="50">
        <v>0</v>
      </c>
      <c r="I58" s="92"/>
    </row>
    <row r="59" spans="2:11" x14ac:dyDescent="0.2">
      <c r="B59" s="244"/>
      <c r="C59" s="9" t="s">
        <v>118</v>
      </c>
      <c r="D59" s="10" t="s">
        <v>119</v>
      </c>
      <c r="E59" s="6" t="s">
        <v>16</v>
      </c>
      <c r="F59" s="50">
        <v>0</v>
      </c>
      <c r="G59" s="50">
        <v>0</v>
      </c>
      <c r="H59" s="50">
        <v>0</v>
      </c>
      <c r="I59" s="92"/>
    </row>
    <row r="60" spans="2:11" ht="16" thickBot="1" x14ac:dyDescent="0.25">
      <c r="B60" s="244"/>
      <c r="C60" s="9" t="s">
        <v>120</v>
      </c>
      <c r="D60" s="10" t="s">
        <v>121</v>
      </c>
      <c r="E60" s="6" t="s">
        <v>122</v>
      </c>
      <c r="F60" s="50"/>
      <c r="G60" s="50">
        <v>22.114636019999999</v>
      </c>
      <c r="H60" s="50">
        <v>21.84122</v>
      </c>
      <c r="I60" s="92">
        <v>22.3005</v>
      </c>
    </row>
    <row r="61" spans="2:11" x14ac:dyDescent="0.2">
      <c r="B61" s="236" t="s">
        <v>123</v>
      </c>
      <c r="C61" s="4" t="s">
        <v>124</v>
      </c>
      <c r="D61" s="5" t="s">
        <v>125</v>
      </c>
      <c r="E61" s="16" t="s">
        <v>126</v>
      </c>
      <c r="F61" s="52">
        <v>286.405922216303</v>
      </c>
      <c r="G61" s="52">
        <v>284.46407629999999</v>
      </c>
      <c r="H61" s="52">
        <v>282.55340000000001</v>
      </c>
      <c r="I61" s="95">
        <v>286.17259999999999</v>
      </c>
    </row>
    <row r="62" spans="2:11" x14ac:dyDescent="0.2">
      <c r="B62" s="244"/>
      <c r="C62" s="9" t="s">
        <v>127</v>
      </c>
      <c r="D62" s="10" t="s">
        <v>128</v>
      </c>
      <c r="E62" s="6" t="s">
        <v>129</v>
      </c>
      <c r="F62" s="80">
        <v>492678.60850354302</v>
      </c>
      <c r="G62" s="80">
        <v>475365.11369999999</v>
      </c>
      <c r="H62" s="53">
        <v>472159.2</v>
      </c>
      <c r="I62" s="96">
        <v>480938.18400000001</v>
      </c>
    </row>
    <row r="63" spans="2:11" x14ac:dyDescent="0.2">
      <c r="B63" s="244"/>
      <c r="C63" s="9" t="s">
        <v>130</v>
      </c>
      <c r="D63" s="10" t="s">
        <v>131</v>
      </c>
      <c r="E63" s="6" t="s">
        <v>129</v>
      </c>
      <c r="F63" s="51">
        <v>2714730.5011978</v>
      </c>
      <c r="G63" s="51">
        <v>2608553.5890000002</v>
      </c>
      <c r="H63" s="51">
        <v>2586049</v>
      </c>
      <c r="I63" s="94">
        <v>2636360.747</v>
      </c>
    </row>
    <row r="64" spans="2:11" x14ac:dyDescent="0.2">
      <c r="B64" s="244"/>
      <c r="C64" s="9" t="s">
        <v>132</v>
      </c>
      <c r="D64" s="10" t="s">
        <v>133</v>
      </c>
      <c r="E64" s="6" t="s">
        <v>13</v>
      </c>
      <c r="F64" s="81">
        <v>0.66256222944818099</v>
      </c>
      <c r="G64" s="81">
        <v>0.66490196000000001</v>
      </c>
      <c r="H64" s="54">
        <v>0.6653</v>
      </c>
      <c r="I64" s="97"/>
    </row>
    <row r="65" spans="2:9" x14ac:dyDescent="0.2">
      <c r="B65" s="244"/>
      <c r="C65" s="9" t="s">
        <v>134</v>
      </c>
      <c r="D65" s="10" t="s">
        <v>135</v>
      </c>
      <c r="E65" s="6" t="s">
        <v>136</v>
      </c>
      <c r="F65" s="34">
        <v>3311</v>
      </c>
      <c r="G65" s="34">
        <v>3194</v>
      </c>
      <c r="H65" s="34"/>
      <c r="I65" s="98">
        <v>3232</v>
      </c>
    </row>
    <row r="66" spans="2:9" x14ac:dyDescent="0.2">
      <c r="B66" s="244"/>
      <c r="C66" s="9" t="s">
        <v>137</v>
      </c>
      <c r="D66" s="10" t="s">
        <v>138</v>
      </c>
      <c r="E66" s="6" t="s">
        <v>136</v>
      </c>
      <c r="F66" s="50">
        <v>3.5513650000000001</v>
      </c>
      <c r="G66" s="50"/>
      <c r="H66" s="50">
        <v>3.5513650000000001</v>
      </c>
      <c r="I66" s="92">
        <v>3.5513650000000001</v>
      </c>
    </row>
    <row r="67" spans="2:9" x14ac:dyDescent="0.2">
      <c r="B67" s="244"/>
      <c r="C67" s="9" t="s">
        <v>139</v>
      </c>
      <c r="D67" s="10" t="s">
        <v>140</v>
      </c>
      <c r="E67" s="6" t="s">
        <v>141</v>
      </c>
      <c r="F67" s="50">
        <v>158.821200214154</v>
      </c>
      <c r="G67" s="50">
        <v>157.3301716</v>
      </c>
      <c r="H67" s="50">
        <v>157.1523</v>
      </c>
      <c r="I67" s="92">
        <v>156.97031620000001</v>
      </c>
    </row>
    <row r="68" spans="2:9" x14ac:dyDescent="0.2">
      <c r="B68" s="244"/>
      <c r="C68" s="9" t="s">
        <v>142</v>
      </c>
      <c r="D68" s="40" t="s">
        <v>143</v>
      </c>
      <c r="E68" s="6" t="s">
        <v>126</v>
      </c>
      <c r="F68" s="35">
        <v>249.891821620705</v>
      </c>
      <c r="G68" s="117">
        <v>248.2112376</v>
      </c>
      <c r="H68" s="117">
        <v>246.547</v>
      </c>
      <c r="I68" s="93">
        <v>249.9811</v>
      </c>
    </row>
    <row r="69" spans="2:9" x14ac:dyDescent="0.2">
      <c r="B69" s="244"/>
      <c r="C69" s="9" t="s">
        <v>144</v>
      </c>
      <c r="D69" s="10" t="s">
        <v>145</v>
      </c>
      <c r="E69" s="6" t="s">
        <v>141</v>
      </c>
      <c r="F69" s="34" t="s">
        <v>136</v>
      </c>
      <c r="G69" s="34"/>
      <c r="H69" s="34" t="s">
        <v>136</v>
      </c>
      <c r="I69" s="98">
        <v>13.431905</v>
      </c>
    </row>
    <row r="70" spans="2:9" x14ac:dyDescent="0.2">
      <c r="B70" s="244"/>
      <c r="C70" s="9" t="s">
        <v>146</v>
      </c>
      <c r="D70" s="10" t="s">
        <v>147</v>
      </c>
      <c r="E70" s="6" t="s">
        <v>141</v>
      </c>
      <c r="F70" s="34" t="s">
        <v>136</v>
      </c>
      <c r="G70" s="34"/>
      <c r="H70" s="34" t="s">
        <v>136</v>
      </c>
      <c r="I70" s="98">
        <v>13.431905</v>
      </c>
    </row>
    <row r="71" spans="2:9" x14ac:dyDescent="0.2">
      <c r="B71" s="244"/>
      <c r="C71" s="9" t="s">
        <v>148</v>
      </c>
      <c r="D71" s="10" t="s">
        <v>149</v>
      </c>
      <c r="E71" s="6" t="s">
        <v>13</v>
      </c>
      <c r="F71" s="81">
        <v>0.87250926826847597</v>
      </c>
      <c r="G71" s="81">
        <v>0.87255740999999998</v>
      </c>
      <c r="H71" s="54">
        <v>0.87256400000000001</v>
      </c>
      <c r="I71" s="97">
        <f>87.353/100</f>
        <v>0.87352999999999992</v>
      </c>
    </row>
    <row r="72" spans="2:9" x14ac:dyDescent="0.2">
      <c r="B72" s="244"/>
      <c r="C72" s="9" t="s">
        <v>150</v>
      </c>
      <c r="D72" s="10" t="s">
        <v>151</v>
      </c>
      <c r="E72" s="6" t="s">
        <v>13</v>
      </c>
      <c r="F72" s="34" t="s">
        <v>136</v>
      </c>
      <c r="G72" s="34"/>
      <c r="H72" s="34" t="s">
        <v>136</v>
      </c>
      <c r="I72" s="98" t="s">
        <v>136</v>
      </c>
    </row>
    <row r="73" spans="2:9" x14ac:dyDescent="0.2">
      <c r="B73" s="244"/>
      <c r="C73" s="9" t="s">
        <v>152</v>
      </c>
      <c r="D73" s="10" t="s">
        <v>153</v>
      </c>
      <c r="E73" s="6" t="s">
        <v>129</v>
      </c>
      <c r="F73" s="50">
        <v>573.81324463690999</v>
      </c>
      <c r="G73" s="50">
        <v>555.45077949999995</v>
      </c>
      <c r="H73" s="50">
        <v>551.59370000000001</v>
      </c>
      <c r="I73" s="92">
        <v>566.50599999999997</v>
      </c>
    </row>
    <row r="74" spans="2:9" x14ac:dyDescent="0.2">
      <c r="B74" s="244"/>
      <c r="C74" s="9" t="s">
        <v>154</v>
      </c>
      <c r="D74" s="10" t="s">
        <v>155</v>
      </c>
      <c r="E74" s="6" t="s">
        <v>156</v>
      </c>
      <c r="F74" s="34">
        <v>634.30373462214902</v>
      </c>
      <c r="G74" s="34">
        <v>630.03788589999999</v>
      </c>
      <c r="H74" s="34"/>
      <c r="I74" s="98">
        <v>638.86699999999996</v>
      </c>
    </row>
    <row r="75" spans="2:9" x14ac:dyDescent="0.2">
      <c r="B75" s="244"/>
      <c r="C75" s="9" t="s">
        <v>157</v>
      </c>
      <c r="D75" s="10" t="s">
        <v>158</v>
      </c>
      <c r="E75" s="6" t="s">
        <v>159</v>
      </c>
      <c r="F75" s="34">
        <f>G75</f>
        <v>550</v>
      </c>
      <c r="G75" s="34">
        <v>550</v>
      </c>
      <c r="H75" s="34"/>
      <c r="I75" s="98">
        <v>550</v>
      </c>
    </row>
    <row r="76" spans="2:9" x14ac:dyDescent="0.2">
      <c r="B76" s="244"/>
      <c r="C76" s="9" t="s">
        <v>160</v>
      </c>
      <c r="D76" s="23" t="s">
        <v>160</v>
      </c>
      <c r="E76" s="6" t="s">
        <v>159</v>
      </c>
      <c r="F76" s="34">
        <f>G76</f>
        <v>290</v>
      </c>
      <c r="G76" s="34">
        <v>290</v>
      </c>
      <c r="H76" s="34"/>
      <c r="I76" s="98">
        <v>290</v>
      </c>
    </row>
    <row r="77" spans="2:9" x14ac:dyDescent="0.2">
      <c r="B77" s="244"/>
      <c r="C77" s="9" t="s">
        <v>161</v>
      </c>
      <c r="D77" s="10" t="s">
        <v>162</v>
      </c>
      <c r="E77" s="6" t="s">
        <v>126</v>
      </c>
      <c r="F77" s="34">
        <v>0</v>
      </c>
      <c r="G77" s="34"/>
      <c r="H77" s="34">
        <v>0</v>
      </c>
      <c r="I77" s="98"/>
    </row>
    <row r="78" spans="2:9" x14ac:dyDescent="0.2">
      <c r="B78" s="244"/>
      <c r="C78" s="9" t="s">
        <v>163</v>
      </c>
      <c r="D78" s="10" t="s">
        <v>164</v>
      </c>
      <c r="E78" s="6" t="s">
        <v>13</v>
      </c>
      <c r="F78" s="82">
        <v>0.95</v>
      </c>
      <c r="G78" s="82"/>
      <c r="H78" s="56">
        <v>0.95</v>
      </c>
      <c r="I78" s="100"/>
    </row>
    <row r="79" spans="2:9" x14ac:dyDescent="0.2">
      <c r="B79" s="244"/>
      <c r="C79" s="9" t="s">
        <v>165</v>
      </c>
      <c r="D79" s="10" t="s">
        <v>166</v>
      </c>
      <c r="E79" s="6" t="s">
        <v>156</v>
      </c>
      <c r="F79" s="34">
        <v>0</v>
      </c>
      <c r="G79" s="34">
        <v>0</v>
      </c>
      <c r="H79" s="34"/>
      <c r="I79" s="98"/>
    </row>
    <row r="80" spans="2:9" x14ac:dyDescent="0.2">
      <c r="B80" s="244"/>
      <c r="C80" s="9" t="s">
        <v>167</v>
      </c>
      <c r="D80" s="10" t="s">
        <v>168</v>
      </c>
      <c r="E80" s="6" t="s">
        <v>126</v>
      </c>
      <c r="F80" s="34">
        <v>0</v>
      </c>
      <c r="G80" s="34">
        <v>0</v>
      </c>
      <c r="H80" s="34">
        <v>0</v>
      </c>
      <c r="I80" s="98"/>
    </row>
    <row r="81" spans="2:9" x14ac:dyDescent="0.2">
      <c r="B81" s="244"/>
      <c r="C81" s="9" t="s">
        <v>169</v>
      </c>
      <c r="D81" s="10" t="s">
        <v>170</v>
      </c>
      <c r="E81" s="6" t="s">
        <v>126</v>
      </c>
      <c r="F81" s="34">
        <v>0</v>
      </c>
      <c r="G81" s="34">
        <v>0</v>
      </c>
      <c r="H81" s="34"/>
      <c r="I81" s="98"/>
    </row>
    <row r="82" spans="2:9" x14ac:dyDescent="0.2">
      <c r="B82" s="244"/>
      <c r="C82" s="9" t="s">
        <v>171</v>
      </c>
      <c r="D82" s="10" t="s">
        <v>172</v>
      </c>
      <c r="E82" s="6" t="s">
        <v>173</v>
      </c>
      <c r="F82" s="34">
        <v>18.600000000000001</v>
      </c>
      <c r="G82" s="34"/>
      <c r="H82" s="34">
        <v>18.617039999999999</v>
      </c>
      <c r="I82" s="98">
        <v>18.617039999999999</v>
      </c>
    </row>
    <row r="83" spans="2:9" x14ac:dyDescent="0.2">
      <c r="B83" s="244"/>
      <c r="C83" s="9" t="s">
        <v>174</v>
      </c>
      <c r="D83" s="10" t="s">
        <v>175</v>
      </c>
      <c r="E83" s="6" t="s">
        <v>141</v>
      </c>
      <c r="F83" s="34"/>
      <c r="G83" s="34"/>
      <c r="H83" s="34"/>
      <c r="I83" s="98"/>
    </row>
    <row r="84" spans="2:9" x14ac:dyDescent="0.2">
      <c r="B84" s="244"/>
      <c r="C84" s="9" t="s">
        <v>176</v>
      </c>
      <c r="D84" s="10" t="s">
        <v>177</v>
      </c>
      <c r="E84" s="6" t="s">
        <v>141</v>
      </c>
      <c r="F84" s="34"/>
      <c r="G84" s="34"/>
      <c r="H84" s="34"/>
      <c r="I84" s="98"/>
    </row>
    <row r="85" spans="2:9" x14ac:dyDescent="0.2">
      <c r="B85" s="244"/>
      <c r="C85" s="9" t="s">
        <v>178</v>
      </c>
      <c r="D85" s="10" t="s">
        <v>179</v>
      </c>
      <c r="E85" s="6" t="s">
        <v>129</v>
      </c>
      <c r="F85" s="34"/>
      <c r="G85" s="34"/>
      <c r="H85" s="34"/>
      <c r="I85" s="98"/>
    </row>
    <row r="86" spans="2:9" x14ac:dyDescent="0.2">
      <c r="B86" s="244"/>
      <c r="C86" s="9" t="s">
        <v>180</v>
      </c>
      <c r="D86" s="40" t="s">
        <v>181</v>
      </c>
      <c r="E86" s="6" t="s">
        <v>182</v>
      </c>
      <c r="F86" s="35">
        <v>1308.7891225331991</v>
      </c>
      <c r="G86" s="117">
        <v>1292.45</v>
      </c>
      <c r="H86" s="117">
        <v>1292.454</v>
      </c>
      <c r="I86" s="93">
        <v>1310.45</v>
      </c>
    </row>
    <row r="87" spans="2:9" x14ac:dyDescent="0.2">
      <c r="B87" s="244"/>
      <c r="C87" s="9" t="s">
        <v>183</v>
      </c>
      <c r="D87" s="10" t="s">
        <v>184</v>
      </c>
      <c r="E87" s="6" t="s">
        <v>126</v>
      </c>
      <c r="F87" s="50">
        <v>70.365006587806405</v>
      </c>
      <c r="G87" s="50">
        <v>70.151567499999999</v>
      </c>
      <c r="H87" s="114">
        <v>69.423169999999999</v>
      </c>
      <c r="I87" s="92">
        <v>70.390100000000004</v>
      </c>
    </row>
    <row r="88" spans="2:9" x14ac:dyDescent="0.2">
      <c r="B88" s="244"/>
      <c r="C88" s="9" t="s">
        <v>36</v>
      </c>
      <c r="D88" s="10" t="s">
        <v>185</v>
      </c>
      <c r="E88" s="6" t="s">
        <v>13</v>
      </c>
      <c r="F88" s="83">
        <v>0.38371345800000001</v>
      </c>
      <c r="G88" s="83">
        <v>0.38488092200000001</v>
      </c>
      <c r="H88" s="57">
        <v>0.38906299999999999</v>
      </c>
      <c r="I88" s="101">
        <v>0.38369999999999999</v>
      </c>
    </row>
    <row r="89" spans="2:9" x14ac:dyDescent="0.2">
      <c r="B89" s="244"/>
      <c r="C89" s="9" t="s">
        <v>186</v>
      </c>
      <c r="D89" s="10" t="s">
        <v>187</v>
      </c>
      <c r="E89" s="6" t="s">
        <v>159</v>
      </c>
      <c r="F89" s="34">
        <v>540</v>
      </c>
      <c r="G89" s="34"/>
      <c r="H89" s="34"/>
      <c r="I89" s="98"/>
    </row>
    <row r="90" spans="2:9" x14ac:dyDescent="0.2">
      <c r="B90" s="244"/>
      <c r="C90" s="9" t="s">
        <v>188</v>
      </c>
      <c r="D90" s="10" t="s">
        <v>189</v>
      </c>
      <c r="E90" s="6" t="s">
        <v>159</v>
      </c>
      <c r="F90" s="34">
        <f>H90</f>
        <v>550</v>
      </c>
      <c r="G90" s="34">
        <v>550</v>
      </c>
      <c r="H90" s="34">
        <v>550</v>
      </c>
      <c r="I90" s="98">
        <v>550</v>
      </c>
    </row>
    <row r="91" spans="2:9" x14ac:dyDescent="0.2">
      <c r="B91" s="244"/>
      <c r="C91" s="9" t="s">
        <v>190</v>
      </c>
      <c r="D91" s="10" t="s">
        <v>191</v>
      </c>
      <c r="E91" s="6" t="s">
        <v>159</v>
      </c>
      <c r="F91" s="34">
        <f>H91</f>
        <v>290</v>
      </c>
      <c r="G91" s="51">
        <v>290.1764</v>
      </c>
      <c r="H91" s="34">
        <v>290</v>
      </c>
      <c r="I91" s="98">
        <v>290</v>
      </c>
    </row>
    <row r="92" spans="2:9" x14ac:dyDescent="0.2">
      <c r="B92" s="244"/>
      <c r="C92" s="9" t="s">
        <v>192</v>
      </c>
      <c r="D92" s="10" t="s">
        <v>193</v>
      </c>
      <c r="E92" s="6" t="s">
        <v>159</v>
      </c>
      <c r="F92" s="34">
        <f>H92</f>
        <v>30</v>
      </c>
      <c r="G92" s="34">
        <v>30</v>
      </c>
      <c r="H92" s="34">
        <v>30</v>
      </c>
      <c r="I92" s="98">
        <v>30</v>
      </c>
    </row>
    <row r="93" spans="2:9" x14ac:dyDescent="0.2">
      <c r="B93" s="244"/>
      <c r="C93" s="9" t="s">
        <v>194</v>
      </c>
      <c r="D93" s="10" t="s">
        <v>195</v>
      </c>
      <c r="E93" s="6" t="s">
        <v>126</v>
      </c>
      <c r="F93" s="50">
        <v>28.3613445378151</v>
      </c>
      <c r="G93" s="50">
        <v>28.361344540000001</v>
      </c>
      <c r="H93" s="50">
        <v>28.371849999999998</v>
      </c>
      <c r="I93" s="92">
        <v>28.37</v>
      </c>
    </row>
    <row r="94" spans="2:9" x14ac:dyDescent="0.2">
      <c r="B94" s="244"/>
      <c r="C94" s="9" t="s">
        <v>196</v>
      </c>
      <c r="D94" s="40" t="s">
        <v>197</v>
      </c>
      <c r="E94" s="6" t="s">
        <v>126</v>
      </c>
      <c r="F94" s="35">
        <v>27</v>
      </c>
      <c r="G94" s="35">
        <v>27</v>
      </c>
      <c r="H94" s="35">
        <v>27.01</v>
      </c>
      <c r="I94" s="93">
        <v>27.009847239999999</v>
      </c>
    </row>
    <row r="95" spans="2:9" x14ac:dyDescent="0.2">
      <c r="B95" s="244"/>
      <c r="C95" s="9" t="s">
        <v>198</v>
      </c>
      <c r="D95" s="40" t="s">
        <v>199</v>
      </c>
      <c r="E95" s="6" t="s">
        <v>126</v>
      </c>
      <c r="F95" s="35">
        <f>H95</f>
        <v>84.85</v>
      </c>
      <c r="G95" s="117">
        <v>85.611149999999995</v>
      </c>
      <c r="H95" s="35">
        <v>84.85</v>
      </c>
      <c r="I95" s="93">
        <v>84.850431317747294</v>
      </c>
    </row>
    <row r="96" spans="2:9" x14ac:dyDescent="0.2">
      <c r="B96" s="244"/>
      <c r="C96" s="9" t="s">
        <v>200</v>
      </c>
      <c r="D96" s="10" t="s">
        <v>201</v>
      </c>
      <c r="E96" s="6" t="s">
        <v>126</v>
      </c>
      <c r="F96" s="35">
        <f t="shared" ref="F96:F104" si="0">H96</f>
        <v>110.30500000000001</v>
      </c>
      <c r="G96" s="35">
        <v>111.384612</v>
      </c>
      <c r="H96" s="35">
        <v>110.30500000000001</v>
      </c>
      <c r="I96" s="93">
        <v>110.30500000000001</v>
      </c>
    </row>
    <row r="97" spans="2:9" x14ac:dyDescent="0.2">
      <c r="B97" s="244"/>
      <c r="C97" s="9" t="s">
        <v>202</v>
      </c>
      <c r="D97" s="10" t="s">
        <v>203</v>
      </c>
      <c r="E97" s="6" t="s">
        <v>136</v>
      </c>
      <c r="F97" s="34">
        <f t="shared" si="0"/>
        <v>1.3</v>
      </c>
      <c r="G97" s="35">
        <v>1.301052632</v>
      </c>
      <c r="H97" s="34">
        <v>1.3</v>
      </c>
      <c r="I97" s="98">
        <v>1.3</v>
      </c>
    </row>
    <row r="98" spans="2:9" x14ac:dyDescent="0.2">
      <c r="B98" s="244"/>
      <c r="C98" s="9" t="s">
        <v>204</v>
      </c>
      <c r="D98" s="10" t="s">
        <v>205</v>
      </c>
      <c r="E98" s="6" t="s">
        <v>129</v>
      </c>
      <c r="F98" s="80">
        <v>613166.66666666605</v>
      </c>
      <c r="G98" s="80">
        <v>618803.4</v>
      </c>
      <c r="H98" s="53">
        <v>612805.6</v>
      </c>
      <c r="I98" s="96">
        <v>612805.55500000005</v>
      </c>
    </row>
    <row r="99" spans="2:9" x14ac:dyDescent="0.2">
      <c r="B99" s="244"/>
      <c r="C99" s="9" t="s">
        <v>206</v>
      </c>
      <c r="D99" s="10" t="s">
        <v>207</v>
      </c>
      <c r="E99" s="6" t="s">
        <v>129</v>
      </c>
      <c r="F99" s="80">
        <v>2299373.25</v>
      </c>
      <c r="G99" s="80">
        <v>2320512.75</v>
      </c>
      <c r="H99" s="53">
        <v>2298021</v>
      </c>
      <c r="I99" s="96">
        <v>2298020.83</v>
      </c>
    </row>
    <row r="100" spans="2:9" x14ac:dyDescent="0.2">
      <c r="B100" s="244"/>
      <c r="C100" s="9" t="s">
        <v>208</v>
      </c>
      <c r="D100" s="10" t="s">
        <v>209</v>
      </c>
      <c r="E100" s="6" t="s">
        <v>136</v>
      </c>
      <c r="F100" s="34">
        <f t="shared" si="0"/>
        <v>0.4</v>
      </c>
      <c r="G100" s="34">
        <v>0.4</v>
      </c>
      <c r="H100" s="34">
        <v>0.4</v>
      </c>
      <c r="I100" s="98">
        <v>0.4</v>
      </c>
    </row>
    <row r="101" spans="2:9" x14ac:dyDescent="0.2">
      <c r="B101" s="244"/>
      <c r="C101" s="9" t="s">
        <v>210</v>
      </c>
      <c r="D101" s="10" t="s">
        <v>211</v>
      </c>
      <c r="E101" s="6" t="s">
        <v>212</v>
      </c>
      <c r="F101" s="34">
        <f t="shared" si="0"/>
        <v>37</v>
      </c>
      <c r="G101" s="34">
        <v>37</v>
      </c>
      <c r="H101" s="34">
        <v>37</v>
      </c>
      <c r="I101" s="98">
        <v>37</v>
      </c>
    </row>
    <row r="102" spans="2:9" x14ac:dyDescent="0.2">
      <c r="B102" s="244"/>
      <c r="C102" s="9" t="s">
        <v>213</v>
      </c>
      <c r="D102" s="10" t="s">
        <v>214</v>
      </c>
      <c r="E102" s="6" t="s">
        <v>212</v>
      </c>
      <c r="F102" s="34">
        <f t="shared" si="0"/>
        <v>0</v>
      </c>
      <c r="G102" s="34">
        <v>0</v>
      </c>
      <c r="H102" s="34">
        <v>0</v>
      </c>
      <c r="I102" s="98">
        <v>0</v>
      </c>
    </row>
    <row r="103" spans="2:9" x14ac:dyDescent="0.2">
      <c r="B103" s="244"/>
      <c r="C103" s="9" t="s">
        <v>215</v>
      </c>
      <c r="D103" s="10" t="s">
        <v>216</v>
      </c>
      <c r="E103" s="6" t="s">
        <v>13</v>
      </c>
      <c r="F103" s="82">
        <f t="shared" si="0"/>
        <v>95</v>
      </c>
      <c r="G103" s="82">
        <v>0.95</v>
      </c>
      <c r="H103" s="56">
        <v>95</v>
      </c>
      <c r="I103" s="100">
        <v>95</v>
      </c>
    </row>
    <row r="104" spans="2:9" x14ac:dyDescent="0.2">
      <c r="B104" s="244"/>
      <c r="C104" s="9" t="s">
        <v>217</v>
      </c>
      <c r="D104" s="10" t="s">
        <v>218</v>
      </c>
      <c r="E104" s="6" t="s">
        <v>126</v>
      </c>
      <c r="F104" s="34">
        <f t="shared" si="0"/>
        <v>50</v>
      </c>
      <c r="G104" s="34">
        <v>50</v>
      </c>
      <c r="H104" s="34">
        <v>50</v>
      </c>
      <c r="I104" s="98">
        <v>50</v>
      </c>
    </row>
    <row r="105" spans="2:9" x14ac:dyDescent="0.2">
      <c r="B105" s="244"/>
      <c r="C105" s="9" t="s">
        <v>219</v>
      </c>
      <c r="D105" s="10" t="s">
        <v>220</v>
      </c>
      <c r="E105" s="6" t="s">
        <v>173</v>
      </c>
      <c r="F105" s="34">
        <v>0</v>
      </c>
      <c r="G105" s="34"/>
      <c r="H105" s="34">
        <v>0</v>
      </c>
      <c r="I105" s="98">
        <v>0</v>
      </c>
    </row>
    <row r="106" spans="2:9" x14ac:dyDescent="0.2">
      <c r="B106" s="244"/>
      <c r="C106" s="9" t="s">
        <v>221</v>
      </c>
      <c r="D106" s="40" t="s">
        <v>222</v>
      </c>
      <c r="E106" s="6" t="s">
        <v>126</v>
      </c>
      <c r="F106" s="34">
        <v>0</v>
      </c>
      <c r="G106" s="34">
        <v>0</v>
      </c>
      <c r="H106" s="34">
        <v>0</v>
      </c>
      <c r="I106" s="98">
        <v>0</v>
      </c>
    </row>
    <row r="107" spans="2:9" x14ac:dyDescent="0.2">
      <c r="B107" s="244"/>
      <c r="C107" s="9" t="s">
        <v>223</v>
      </c>
      <c r="D107" s="40" t="s">
        <v>224</v>
      </c>
      <c r="E107" s="6" t="s">
        <v>182</v>
      </c>
      <c r="F107" s="34">
        <v>0</v>
      </c>
      <c r="G107" s="34"/>
      <c r="H107" s="34">
        <v>0</v>
      </c>
      <c r="I107" s="98">
        <v>0</v>
      </c>
    </row>
    <row r="108" spans="2:9" x14ac:dyDescent="0.2">
      <c r="B108" s="244"/>
      <c r="C108" s="9"/>
      <c r="D108" s="10" t="s">
        <v>225</v>
      </c>
      <c r="E108" s="6"/>
      <c r="F108" s="35">
        <v>0</v>
      </c>
      <c r="G108" s="35">
        <v>0</v>
      </c>
      <c r="H108" s="35">
        <v>0</v>
      </c>
      <c r="I108" s="93">
        <v>0</v>
      </c>
    </row>
    <row r="109" spans="2:9" x14ac:dyDescent="0.2">
      <c r="B109" s="244"/>
      <c r="C109" s="9" t="s">
        <v>226</v>
      </c>
      <c r="D109" s="10" t="s">
        <v>227</v>
      </c>
      <c r="E109" s="6" t="s">
        <v>136</v>
      </c>
      <c r="F109" s="34">
        <v>0</v>
      </c>
      <c r="G109" s="34">
        <v>0</v>
      </c>
      <c r="H109" s="34">
        <v>0</v>
      </c>
      <c r="I109" s="98">
        <v>0</v>
      </c>
    </row>
    <row r="110" spans="2:9" ht="16" thickBot="1" x14ac:dyDescent="0.25">
      <c r="B110" s="237"/>
      <c r="C110" s="24" t="s">
        <v>228</v>
      </c>
      <c r="D110" s="15" t="s">
        <v>229</v>
      </c>
      <c r="E110" s="25" t="s">
        <v>136</v>
      </c>
      <c r="F110" s="58">
        <v>0</v>
      </c>
      <c r="G110" s="58">
        <v>0</v>
      </c>
      <c r="H110" s="58">
        <v>0</v>
      </c>
      <c r="I110" s="102">
        <v>0</v>
      </c>
    </row>
    <row r="111" spans="2:9" ht="16" x14ac:dyDescent="0.2">
      <c r="D111" s="1" t="s">
        <v>230</v>
      </c>
      <c r="G111" s="71"/>
      <c r="I111" s="41">
        <v>0.84</v>
      </c>
    </row>
    <row r="112" spans="2:9" x14ac:dyDescent="0.2">
      <c r="G112" s="71"/>
    </row>
    <row r="113" spans="2:14" x14ac:dyDescent="0.2">
      <c r="G113" s="71"/>
    </row>
    <row r="115" spans="2:14" s="1" customFormat="1" x14ac:dyDescent="0.2">
      <c r="B115"/>
      <c r="F115" s="37"/>
      <c r="G115" s="37"/>
      <c r="H115" s="37"/>
      <c r="I115" s="38"/>
      <c r="J115"/>
      <c r="K115"/>
      <c r="L115"/>
      <c r="M115"/>
      <c r="N115"/>
    </row>
    <row r="116" spans="2:14" s="1" customFormat="1" x14ac:dyDescent="0.2">
      <c r="B116"/>
      <c r="F116" s="37"/>
      <c r="G116" s="37"/>
      <c r="H116" s="37"/>
      <c r="I116" s="38"/>
      <c r="J116"/>
      <c r="K116"/>
      <c r="L116"/>
      <c r="M116"/>
      <c r="N116"/>
    </row>
    <row r="117" spans="2:14" s="1" customFormat="1" x14ac:dyDescent="0.2">
      <c r="B117"/>
      <c r="F117" s="37"/>
      <c r="G117" s="37"/>
      <c r="H117" s="37"/>
      <c r="I117" s="38"/>
      <c r="J117"/>
      <c r="K117"/>
      <c r="L117"/>
      <c r="M117"/>
      <c r="N117"/>
    </row>
    <row r="118" spans="2:14" s="1" customFormat="1" x14ac:dyDescent="0.2">
      <c r="B118"/>
      <c r="F118" s="37"/>
      <c r="G118" s="37"/>
      <c r="H118" s="37"/>
      <c r="I118" s="38"/>
      <c r="J118"/>
      <c r="K118"/>
      <c r="L118"/>
      <c r="M118"/>
      <c r="N118"/>
    </row>
    <row r="119" spans="2:14" s="1" customFormat="1" x14ac:dyDescent="0.2">
      <c r="B119"/>
      <c r="F119" s="37"/>
      <c r="G119" s="37"/>
      <c r="H119" s="37"/>
      <c r="I119" s="38"/>
      <c r="J119"/>
      <c r="K119"/>
      <c r="L119"/>
      <c r="M119"/>
      <c r="N119"/>
    </row>
    <row r="121" spans="2:14" s="1" customFormat="1" x14ac:dyDescent="0.2">
      <c r="B121"/>
      <c r="F121" s="37"/>
      <c r="G121" s="37"/>
      <c r="H121" s="37"/>
      <c r="I121" s="39"/>
      <c r="J121"/>
      <c r="K121"/>
      <c r="L121"/>
      <c r="M121"/>
      <c r="N121"/>
    </row>
    <row r="127" spans="2:14" s="1" customFormat="1" x14ac:dyDescent="0.2">
      <c r="B127"/>
      <c r="F127" s="37"/>
      <c r="G127" s="37"/>
      <c r="H127" s="37"/>
      <c r="I127" s="38"/>
      <c r="J127"/>
      <c r="K127"/>
      <c r="L127"/>
      <c r="M127"/>
      <c r="N127"/>
    </row>
    <row r="133" spans="2:14" s="1" customFormat="1" x14ac:dyDescent="0.2">
      <c r="B133"/>
      <c r="F133" s="37"/>
      <c r="G133" s="37"/>
      <c r="H133" s="37"/>
      <c r="I133" s="38"/>
      <c r="J133"/>
      <c r="K133"/>
      <c r="L133"/>
      <c r="M133"/>
      <c r="N133"/>
    </row>
    <row r="134" spans="2:14" s="1" customFormat="1" x14ac:dyDescent="0.2">
      <c r="B134"/>
      <c r="F134" s="37"/>
      <c r="G134" s="37"/>
      <c r="H134" s="37"/>
      <c r="I134" s="38"/>
      <c r="J134"/>
      <c r="K134"/>
      <c r="L134"/>
      <c r="M134"/>
      <c r="N134"/>
    </row>
    <row r="135" spans="2:14" s="1" customFormat="1" x14ac:dyDescent="0.2">
      <c r="B135"/>
      <c r="F135" s="37"/>
      <c r="G135" s="37"/>
      <c r="H135" s="37"/>
      <c r="I135" s="38"/>
      <c r="J135"/>
      <c r="K135"/>
      <c r="L135"/>
      <c r="M135"/>
      <c r="N135"/>
    </row>
    <row r="136" spans="2:14" s="1" customFormat="1" x14ac:dyDescent="0.2">
      <c r="B136"/>
      <c r="F136" s="37"/>
      <c r="G136" s="37"/>
      <c r="H136" s="37"/>
      <c r="I136" s="38"/>
      <c r="J136"/>
      <c r="K136"/>
      <c r="L136"/>
      <c r="M136"/>
      <c r="N136"/>
    </row>
    <row r="137" spans="2:14" s="1" customFormat="1" x14ac:dyDescent="0.2">
      <c r="B137"/>
      <c r="F137" s="37"/>
      <c r="G137" s="37"/>
      <c r="H137" s="37"/>
      <c r="I137" s="38"/>
      <c r="J137"/>
      <c r="K137"/>
      <c r="L137"/>
      <c r="M137"/>
      <c r="N137"/>
    </row>
    <row r="138" spans="2:14" s="1" customFormat="1" x14ac:dyDescent="0.2">
      <c r="B138"/>
      <c r="F138" s="37"/>
      <c r="G138" s="37"/>
      <c r="H138" s="37"/>
      <c r="I138" s="38"/>
      <c r="J138"/>
      <c r="K138"/>
      <c r="L138"/>
      <c r="M138"/>
      <c r="N138"/>
    </row>
  </sheetData>
  <mergeCells count="8">
    <mergeCell ref="E2:E3"/>
    <mergeCell ref="F2:I2"/>
    <mergeCell ref="B4:B30"/>
    <mergeCell ref="B31:B60"/>
    <mergeCell ref="B61:B110"/>
    <mergeCell ref="B2:B3"/>
    <mergeCell ref="C2:C3"/>
    <mergeCell ref="D2:D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F235D-A208-4361-8A1F-0ACC18C87225}">
  <dimension ref="B1:N138"/>
  <sheetViews>
    <sheetView topLeftCell="D1" zoomScale="85" zoomScaleNormal="85" workbookViewId="0">
      <selection activeCell="F4" sqref="F4"/>
    </sheetView>
  </sheetViews>
  <sheetFormatPr baseColWidth="10" defaultColWidth="8.83203125" defaultRowHeight="15" x14ac:dyDescent="0.2"/>
  <cols>
    <col min="2" max="2" width="16.83203125" customWidth="1"/>
    <col min="3" max="3" width="20.1640625" style="1" customWidth="1"/>
    <col min="4" max="4" width="43" style="1" customWidth="1"/>
    <col min="5" max="5" width="12.5" style="1" customWidth="1"/>
    <col min="6" max="6" width="17.5" style="37" customWidth="1"/>
    <col min="7" max="7" width="19.1640625" style="37" customWidth="1"/>
    <col min="8" max="8" width="14.83203125" style="37" customWidth="1"/>
    <col min="9" max="9" width="16.1640625" style="38" customWidth="1"/>
  </cols>
  <sheetData>
    <row r="1" spans="2:9" ht="16" thickBot="1" x14ac:dyDescent="0.25">
      <c r="F1"/>
      <c r="G1"/>
      <c r="H1"/>
      <c r="I1" s="1"/>
    </row>
    <row r="2" spans="2:9" ht="16" thickBot="1" x14ac:dyDescent="0.25">
      <c r="B2" s="245" t="s">
        <v>0</v>
      </c>
      <c r="C2" s="247" t="s">
        <v>1</v>
      </c>
      <c r="D2" s="249" t="s">
        <v>2</v>
      </c>
      <c r="E2" s="236" t="s">
        <v>3</v>
      </c>
      <c r="F2" s="238" t="s">
        <v>4</v>
      </c>
      <c r="G2" s="239"/>
      <c r="H2" s="239"/>
      <c r="I2" s="240"/>
    </row>
    <row r="3" spans="2:9" s="1" customFormat="1" ht="16" thickBot="1" x14ac:dyDescent="0.25">
      <c r="B3" s="246"/>
      <c r="C3" s="248"/>
      <c r="D3" s="250"/>
      <c r="E3" s="237"/>
      <c r="F3" s="62" t="s">
        <v>237</v>
      </c>
      <c r="G3" s="66" t="s">
        <v>238</v>
      </c>
      <c r="H3" s="62" t="s">
        <v>239</v>
      </c>
      <c r="I3" s="42" t="s">
        <v>240</v>
      </c>
    </row>
    <row r="4" spans="2:9" x14ac:dyDescent="0.2">
      <c r="B4" s="241" t="s">
        <v>5</v>
      </c>
      <c r="C4" s="4" t="s">
        <v>6</v>
      </c>
      <c r="D4" s="5" t="s">
        <v>7</v>
      </c>
      <c r="E4" s="6" t="s">
        <v>8</v>
      </c>
      <c r="F4" s="73">
        <v>330.61632360629699</v>
      </c>
      <c r="G4" s="73">
        <v>319.27997399999998</v>
      </c>
      <c r="H4" s="43">
        <v>326.84800000000001</v>
      </c>
      <c r="I4" s="84">
        <v>315.46240710000001</v>
      </c>
    </row>
    <row r="5" spans="2:9" x14ac:dyDescent="0.2">
      <c r="B5" s="242"/>
      <c r="C5" s="9"/>
      <c r="D5" s="10" t="s">
        <v>9</v>
      </c>
      <c r="E5" s="6" t="s">
        <v>10</v>
      </c>
      <c r="F5" s="74"/>
      <c r="G5" s="74" t="s">
        <v>231</v>
      </c>
      <c r="H5" s="44">
        <v>529.17589999999996</v>
      </c>
      <c r="I5" s="85">
        <v>836.57889999999998</v>
      </c>
    </row>
    <row r="6" spans="2:9" x14ac:dyDescent="0.2">
      <c r="B6" s="242"/>
      <c r="C6" s="9" t="s">
        <v>11</v>
      </c>
      <c r="D6" s="10" t="s">
        <v>12</v>
      </c>
      <c r="E6" s="6" t="s">
        <v>13</v>
      </c>
      <c r="F6" s="75">
        <v>0.95170418489178599</v>
      </c>
      <c r="G6" s="75">
        <v>0.91843952399999995</v>
      </c>
      <c r="H6" s="45">
        <v>0.94085399999999997</v>
      </c>
      <c r="I6" s="86">
        <v>0.90808199999999994</v>
      </c>
    </row>
    <row r="7" spans="2:9" x14ac:dyDescent="0.2">
      <c r="B7" s="242"/>
      <c r="C7" s="9" t="s">
        <v>14</v>
      </c>
      <c r="D7" s="10" t="s">
        <v>15</v>
      </c>
      <c r="E7" s="6" t="s">
        <v>16</v>
      </c>
      <c r="F7" s="76">
        <v>-319.732203153613</v>
      </c>
      <c r="G7" s="76">
        <v>-323.66137839999999</v>
      </c>
      <c r="H7" s="46">
        <v>-313.15300000000002</v>
      </c>
      <c r="I7" s="87">
        <v>-326.73</v>
      </c>
    </row>
    <row r="8" spans="2:9" x14ac:dyDescent="0.2">
      <c r="B8" s="242"/>
      <c r="C8" s="9" t="s">
        <v>17</v>
      </c>
      <c r="D8" s="10" t="s">
        <v>18</v>
      </c>
      <c r="E8" s="6" t="s">
        <v>19</v>
      </c>
      <c r="F8" s="77">
        <v>0</v>
      </c>
      <c r="G8" s="77" t="s">
        <v>231</v>
      </c>
      <c r="H8" s="47">
        <v>0</v>
      </c>
      <c r="I8" s="88"/>
    </row>
    <row r="9" spans="2:9" x14ac:dyDescent="0.2">
      <c r="B9" s="242"/>
      <c r="C9" s="9"/>
      <c r="D9" s="10" t="s">
        <v>20</v>
      </c>
      <c r="E9" s="6" t="s">
        <v>19</v>
      </c>
      <c r="F9" s="74">
        <v>113.59184306137099</v>
      </c>
      <c r="G9" s="74">
        <v>116.56341980000001</v>
      </c>
      <c r="H9" s="44">
        <v>113.17100000000001</v>
      </c>
      <c r="I9" s="85">
        <v>118.26</v>
      </c>
    </row>
    <row r="10" spans="2:9" x14ac:dyDescent="0.2">
      <c r="B10" s="242"/>
      <c r="C10" s="9" t="s">
        <v>21</v>
      </c>
      <c r="D10" s="10" t="s">
        <v>22</v>
      </c>
      <c r="E10" s="6" t="s">
        <v>16</v>
      </c>
      <c r="F10" s="74">
        <v>513.25260208399095</v>
      </c>
      <c r="G10" s="74">
        <v>505.91258060000001</v>
      </c>
      <c r="H10" s="44">
        <v>505.5754</v>
      </c>
      <c r="I10" s="85">
        <v>509.04180000000002</v>
      </c>
    </row>
    <row r="11" spans="2:9" x14ac:dyDescent="0.2">
      <c r="B11" s="242"/>
      <c r="C11" s="9" t="s">
        <v>23</v>
      </c>
      <c r="D11" s="10" t="s">
        <v>24</v>
      </c>
      <c r="E11" s="6" t="s">
        <v>25</v>
      </c>
      <c r="F11" s="78">
        <f>3.33201985320087*1000</f>
        <v>3332.0198532008699</v>
      </c>
      <c r="G11" s="78">
        <v>3482.494964</v>
      </c>
      <c r="H11" s="48">
        <v>3278.3159999999998</v>
      </c>
      <c r="I11" s="89">
        <v>3364.2530999999999</v>
      </c>
    </row>
    <row r="12" spans="2:9" x14ac:dyDescent="0.2">
      <c r="B12" s="242"/>
      <c r="C12" s="9"/>
      <c r="D12" s="10" t="s">
        <v>26</v>
      </c>
      <c r="E12" s="6" t="s">
        <v>25</v>
      </c>
      <c r="F12" s="78">
        <f>16.0782728924055*1000</f>
        <v>16078.272892405501</v>
      </c>
      <c r="G12" s="78">
        <v>15634.86817</v>
      </c>
      <c r="H12" s="48">
        <v>16108.91</v>
      </c>
      <c r="I12" s="89">
        <v>15520.627</v>
      </c>
    </row>
    <row r="13" spans="2:9" x14ac:dyDescent="0.2">
      <c r="B13" s="242"/>
      <c r="C13" s="9" t="s">
        <v>27</v>
      </c>
      <c r="D13" s="10" t="s">
        <v>28</v>
      </c>
      <c r="E13" s="6" t="s">
        <v>13</v>
      </c>
      <c r="F13" s="75"/>
      <c r="G13" s="75" t="s">
        <v>231</v>
      </c>
      <c r="H13" s="45">
        <v>0.69611900000000004</v>
      </c>
      <c r="I13" s="86"/>
    </row>
    <row r="14" spans="2:9" x14ac:dyDescent="0.2">
      <c r="B14" s="242"/>
      <c r="C14" s="9" t="s">
        <v>29</v>
      </c>
      <c r="D14" s="10" t="s">
        <v>30</v>
      </c>
      <c r="E14" s="6" t="s">
        <v>13</v>
      </c>
      <c r="F14" s="75">
        <v>0</v>
      </c>
      <c r="G14" s="75" t="s">
        <v>231</v>
      </c>
      <c r="H14" s="45">
        <v>0</v>
      </c>
      <c r="I14" s="86"/>
    </row>
    <row r="15" spans="2:9" x14ac:dyDescent="0.2">
      <c r="B15" s="242"/>
      <c r="C15" s="9" t="s">
        <v>31</v>
      </c>
      <c r="D15" s="10" t="s">
        <v>32</v>
      </c>
      <c r="E15" s="6" t="s">
        <v>13</v>
      </c>
      <c r="F15" s="75">
        <v>0</v>
      </c>
      <c r="G15" s="75" t="s">
        <v>231</v>
      </c>
      <c r="H15" s="45">
        <v>0</v>
      </c>
      <c r="I15" s="86"/>
    </row>
    <row r="16" spans="2:9" x14ac:dyDescent="0.2">
      <c r="B16" s="242"/>
      <c r="C16" s="9" t="s">
        <v>33</v>
      </c>
      <c r="D16" s="10" t="s">
        <v>34</v>
      </c>
      <c r="E16" s="6" t="s">
        <v>35</v>
      </c>
      <c r="F16" s="78">
        <v>1707.1104211781301</v>
      </c>
      <c r="G16" s="78">
        <v>1654.899948</v>
      </c>
      <c r="H16" s="48">
        <v>1635.472</v>
      </c>
      <c r="I16" s="89">
        <v>1654.88</v>
      </c>
    </row>
    <row r="17" spans="2:9" x14ac:dyDescent="0.2">
      <c r="B17" s="242"/>
      <c r="C17" s="9" t="s">
        <v>36</v>
      </c>
      <c r="D17" s="10" t="s">
        <v>37</v>
      </c>
      <c r="E17" s="6" t="s">
        <v>13</v>
      </c>
      <c r="F17" s="75">
        <v>0.39342597603680002</v>
      </c>
      <c r="G17" s="75">
        <v>0.39235704599999999</v>
      </c>
      <c r="H17" s="45">
        <v>0.39437499999999998</v>
      </c>
      <c r="I17" s="86">
        <v>0.39340000000000003</v>
      </c>
    </row>
    <row r="18" spans="2:9" x14ac:dyDescent="0.2">
      <c r="B18" s="242"/>
      <c r="C18" s="9" t="s">
        <v>38</v>
      </c>
      <c r="D18" s="10" t="s">
        <v>39</v>
      </c>
      <c r="E18" s="6" t="s">
        <v>13</v>
      </c>
      <c r="F18" s="75">
        <f>F21/F4</f>
        <v>0.66659958356023663</v>
      </c>
      <c r="G18" s="75">
        <v>0.71336714700000003</v>
      </c>
      <c r="H18" s="45">
        <v>0.62706799999999996</v>
      </c>
      <c r="I18" s="86">
        <v>0.88311067300000001</v>
      </c>
    </row>
    <row r="19" spans="2:9" x14ac:dyDescent="0.2">
      <c r="B19" s="242"/>
      <c r="C19" s="9" t="s">
        <v>40</v>
      </c>
      <c r="D19" s="10" t="s">
        <v>41</v>
      </c>
      <c r="E19" s="6" t="s">
        <v>13</v>
      </c>
      <c r="F19" s="75">
        <f>F22/F4</f>
        <v>0.33340041643976037</v>
      </c>
      <c r="G19" s="75">
        <v>0.28663285300000002</v>
      </c>
      <c r="H19" s="45">
        <v>0.37293199999999999</v>
      </c>
      <c r="I19" s="86">
        <v>0.11688900000000001</v>
      </c>
    </row>
    <row r="20" spans="2:9" x14ac:dyDescent="0.2">
      <c r="B20" s="242"/>
      <c r="C20" s="9" t="s">
        <v>42</v>
      </c>
      <c r="D20" s="10" t="s">
        <v>43</v>
      </c>
      <c r="E20" s="6" t="s">
        <v>13</v>
      </c>
      <c r="F20" s="75">
        <v>0</v>
      </c>
      <c r="G20" s="75">
        <v>0</v>
      </c>
      <c r="H20" s="45">
        <v>0</v>
      </c>
      <c r="I20" s="86"/>
    </row>
    <row r="21" spans="2:9" x14ac:dyDescent="0.2">
      <c r="B21" s="242"/>
      <c r="C21" s="9"/>
      <c r="D21" s="10" t="s">
        <v>44</v>
      </c>
      <c r="E21" s="6" t="s">
        <v>8</v>
      </c>
      <c r="F21" s="74">
        <v>220.38870363417399</v>
      </c>
      <c r="G21" s="74">
        <v>227.76384429999999</v>
      </c>
      <c r="H21" s="44">
        <v>204.95590000000001</v>
      </c>
      <c r="I21" s="85">
        <v>278.58800000000002</v>
      </c>
    </row>
    <row r="22" spans="2:9" x14ac:dyDescent="0.2">
      <c r="B22" s="242"/>
      <c r="C22" s="9"/>
      <c r="D22" s="10" t="s">
        <v>45</v>
      </c>
      <c r="E22" s="6" t="s">
        <v>8</v>
      </c>
      <c r="F22" s="74">
        <v>110.227619972122</v>
      </c>
      <c r="G22" s="74">
        <v>91.516129750000005</v>
      </c>
      <c r="H22" s="44">
        <v>121.8921</v>
      </c>
      <c r="I22" s="85">
        <v>36.874099999999999</v>
      </c>
    </row>
    <row r="23" spans="2:9" x14ac:dyDescent="0.2">
      <c r="B23" s="242"/>
      <c r="C23" s="9"/>
      <c r="D23" s="10" t="s">
        <v>46</v>
      </c>
      <c r="E23" s="6" t="s">
        <v>8</v>
      </c>
      <c r="F23" s="74">
        <v>0</v>
      </c>
      <c r="G23" s="74">
        <v>0</v>
      </c>
      <c r="H23" s="44">
        <v>0</v>
      </c>
      <c r="I23" s="85"/>
    </row>
    <row r="24" spans="2:9" x14ac:dyDescent="0.2">
      <c r="B24" s="242"/>
      <c r="C24" s="9" t="s">
        <v>47</v>
      </c>
      <c r="D24" s="10" t="s">
        <v>48</v>
      </c>
      <c r="E24" s="6" t="s">
        <v>8</v>
      </c>
      <c r="F24" s="74">
        <v>62.301005836190797</v>
      </c>
      <c r="G24" s="74">
        <v>66.10146245</v>
      </c>
      <c r="H24" s="44">
        <v>39.951680000000003</v>
      </c>
      <c r="I24" s="85">
        <v>129.839</v>
      </c>
    </row>
    <row r="25" spans="2:9" x14ac:dyDescent="0.2">
      <c r="B25" s="242"/>
      <c r="C25" s="9" t="s">
        <v>49</v>
      </c>
      <c r="D25" s="10" t="s">
        <v>50</v>
      </c>
      <c r="E25" s="6" t="s">
        <v>8</v>
      </c>
      <c r="F25" s="74">
        <v>0</v>
      </c>
      <c r="G25" s="74" t="s">
        <v>231</v>
      </c>
      <c r="H25" s="44">
        <v>0</v>
      </c>
      <c r="I25" s="85"/>
    </row>
    <row r="26" spans="2:9" x14ac:dyDescent="0.2">
      <c r="B26" s="242"/>
      <c r="C26" s="9" t="s">
        <v>51</v>
      </c>
      <c r="D26" s="10" t="s">
        <v>52</v>
      </c>
      <c r="E26" s="6" t="s">
        <v>8</v>
      </c>
      <c r="F26" s="74">
        <v>0</v>
      </c>
      <c r="G26" s="74">
        <v>0</v>
      </c>
      <c r="H26" s="44">
        <v>0</v>
      </c>
      <c r="I26" s="85"/>
    </row>
    <row r="27" spans="2:9" x14ac:dyDescent="0.2">
      <c r="B27" s="242"/>
      <c r="C27" s="9" t="s">
        <v>53</v>
      </c>
      <c r="D27" s="10" t="s">
        <v>54</v>
      </c>
      <c r="E27" s="6" t="s">
        <v>13</v>
      </c>
      <c r="F27" s="75">
        <f>F4/(F94+F95)/8760*1000</f>
        <v>0.28784006599125711</v>
      </c>
      <c r="G27" s="75">
        <v>0.27631464</v>
      </c>
      <c r="H27" s="45">
        <v>0.28459600000000002</v>
      </c>
      <c r="I27" s="86">
        <v>0.33289999999999997</v>
      </c>
    </row>
    <row r="28" spans="2:9" x14ac:dyDescent="0.2">
      <c r="B28" s="242"/>
      <c r="C28" s="9" t="s">
        <v>55</v>
      </c>
      <c r="D28" s="10" t="s">
        <v>56</v>
      </c>
      <c r="E28" s="6" t="s">
        <v>13</v>
      </c>
      <c r="F28" s="75">
        <f>F4*F18/F94/8760*1000</f>
        <v>0.4556053569742905</v>
      </c>
      <c r="G28" s="75">
        <v>0.47056365</v>
      </c>
      <c r="H28" s="45">
        <v>0.423732</v>
      </c>
      <c r="I28" s="86">
        <v>0.54830999999999996</v>
      </c>
    </row>
    <row r="29" spans="2:9" x14ac:dyDescent="0.2">
      <c r="B29" s="242"/>
      <c r="C29" s="9" t="s">
        <v>57</v>
      </c>
      <c r="D29" s="10" t="s">
        <v>58</v>
      </c>
      <c r="E29" s="6" t="s">
        <v>13</v>
      </c>
      <c r="F29" s="75">
        <f>F4*F19/F95/8760*1000</f>
        <v>0.16578473834852694</v>
      </c>
      <c r="G29" s="75">
        <v>0.136292051</v>
      </c>
      <c r="H29" s="45">
        <v>0.24345800000000001</v>
      </c>
      <c r="I29" s="86">
        <v>4.2667999999999998E-2</v>
      </c>
    </row>
    <row r="30" spans="2:9" ht="16" thickBot="1" x14ac:dyDescent="0.25">
      <c r="B30" s="243"/>
      <c r="C30" s="9" t="s">
        <v>59</v>
      </c>
      <c r="D30" s="15" t="s">
        <v>60</v>
      </c>
      <c r="E30" s="6" t="s">
        <v>13</v>
      </c>
      <c r="F30" s="75">
        <v>0</v>
      </c>
      <c r="G30" s="75">
        <v>0</v>
      </c>
      <c r="H30" s="45">
        <v>0</v>
      </c>
      <c r="I30" s="86"/>
    </row>
    <row r="31" spans="2:9" x14ac:dyDescent="0.2">
      <c r="B31" s="236" t="s">
        <v>61</v>
      </c>
      <c r="C31" s="4" t="s">
        <v>62</v>
      </c>
      <c r="D31" s="10" t="s">
        <v>63</v>
      </c>
      <c r="E31" s="16" t="s">
        <v>16</v>
      </c>
      <c r="F31" s="49">
        <v>459.369328862911</v>
      </c>
      <c r="G31" s="49">
        <v>451.61425509999998</v>
      </c>
      <c r="H31" s="49">
        <v>451.82339999999999</v>
      </c>
      <c r="I31" s="91">
        <v>455.1583</v>
      </c>
    </row>
    <row r="32" spans="2:9" x14ac:dyDescent="0.2">
      <c r="B32" s="244"/>
      <c r="C32" s="9" t="s">
        <v>64</v>
      </c>
      <c r="D32" s="10" t="s">
        <v>65</v>
      </c>
      <c r="E32" s="6" t="s">
        <v>16</v>
      </c>
      <c r="F32" s="50">
        <v>53.883273221079598</v>
      </c>
      <c r="G32" s="50">
        <v>54.298325470000002</v>
      </c>
      <c r="H32" s="50">
        <v>53.752040000000001</v>
      </c>
      <c r="I32" s="92">
        <v>53.883000000000003</v>
      </c>
    </row>
    <row r="33" spans="2:9" x14ac:dyDescent="0.2">
      <c r="B33" s="244"/>
      <c r="C33" s="9" t="s">
        <v>66</v>
      </c>
      <c r="D33" s="10" t="s">
        <v>67</v>
      </c>
      <c r="E33" s="6" t="s">
        <v>16</v>
      </c>
      <c r="F33" s="35">
        <v>0</v>
      </c>
      <c r="G33" s="35">
        <v>0</v>
      </c>
      <c r="H33" s="35">
        <v>0</v>
      </c>
      <c r="I33" s="93"/>
    </row>
    <row r="34" spans="2:9" x14ac:dyDescent="0.2">
      <c r="B34" s="244"/>
      <c r="C34" s="9" t="s">
        <v>68</v>
      </c>
      <c r="D34" s="10" t="s">
        <v>69</v>
      </c>
      <c r="E34" s="6" t="s">
        <v>16</v>
      </c>
      <c r="F34" s="35">
        <v>20.182858360948</v>
      </c>
      <c r="G34" s="35">
        <v>19.85795358</v>
      </c>
      <c r="H34" s="35">
        <v>19.909780000000001</v>
      </c>
      <c r="I34" s="93">
        <v>19.855509999999999</v>
      </c>
    </row>
    <row r="35" spans="2:9" x14ac:dyDescent="0.2">
      <c r="B35" s="244"/>
      <c r="C35" s="9" t="s">
        <v>70</v>
      </c>
      <c r="D35" s="10" t="s">
        <v>71</v>
      </c>
      <c r="E35" s="6" t="s">
        <v>16</v>
      </c>
      <c r="F35" s="50">
        <v>77.174369948747696</v>
      </c>
      <c r="G35" s="50">
        <v>75.550694190000002</v>
      </c>
      <c r="H35" s="50">
        <v>76.357919999999993</v>
      </c>
      <c r="I35" s="92">
        <v>76.001000000000005</v>
      </c>
    </row>
    <row r="36" spans="2:9" x14ac:dyDescent="0.2">
      <c r="B36" s="244"/>
      <c r="C36" s="9" t="s">
        <v>72</v>
      </c>
      <c r="D36" s="10" t="s">
        <v>73</v>
      </c>
      <c r="E36" s="6" t="s">
        <v>16</v>
      </c>
      <c r="F36" s="35">
        <v>116.00354310508099</v>
      </c>
      <c r="G36" s="35">
        <v>113.3599219</v>
      </c>
      <c r="H36" s="35">
        <v>114.0545</v>
      </c>
      <c r="I36" s="93">
        <v>113.72799999999999</v>
      </c>
    </row>
    <row r="37" spans="2:9" x14ac:dyDescent="0.2">
      <c r="B37" s="244"/>
      <c r="C37" s="9" t="s">
        <v>74</v>
      </c>
      <c r="D37" s="10" t="s">
        <v>75</v>
      </c>
      <c r="E37" s="6" t="s">
        <v>16</v>
      </c>
      <c r="F37" s="50">
        <v>9.7442976208268597</v>
      </c>
      <c r="G37" s="50">
        <v>9.4466601610000005</v>
      </c>
      <c r="H37" s="50">
        <v>9.5045389999999994</v>
      </c>
      <c r="I37" s="92">
        <v>9.4773300000000003</v>
      </c>
    </row>
    <row r="38" spans="2:9" x14ac:dyDescent="0.2">
      <c r="B38" s="244"/>
      <c r="C38" s="9" t="s">
        <v>76</v>
      </c>
      <c r="D38" s="10" t="s">
        <v>77</v>
      </c>
      <c r="E38" s="6" t="s">
        <v>16</v>
      </c>
      <c r="F38" s="35">
        <v>49.616904884221697</v>
      </c>
      <c r="G38" s="35">
        <v>49.514421599999999</v>
      </c>
      <c r="H38" s="35">
        <v>49.51437</v>
      </c>
      <c r="I38" s="93">
        <v>51.872</v>
      </c>
    </row>
    <row r="39" spans="2:9" x14ac:dyDescent="0.2">
      <c r="B39" s="244"/>
      <c r="C39" s="9" t="s">
        <v>78</v>
      </c>
      <c r="D39" s="10" t="s">
        <v>79</v>
      </c>
      <c r="E39" s="6" t="s">
        <v>16</v>
      </c>
      <c r="F39" s="35">
        <v>94.266637459163405</v>
      </c>
      <c r="G39" s="35">
        <v>95.984196990000001</v>
      </c>
      <c r="H39" s="35">
        <v>94.857370000000003</v>
      </c>
      <c r="I39" s="93">
        <v>95.983000000000004</v>
      </c>
    </row>
    <row r="40" spans="2:9" x14ac:dyDescent="0.2">
      <c r="B40" s="244"/>
      <c r="C40" s="9" t="s">
        <v>80</v>
      </c>
      <c r="D40" s="10" t="s">
        <v>81</v>
      </c>
      <c r="E40" s="6" t="s">
        <v>16</v>
      </c>
      <c r="F40" s="50">
        <v>0</v>
      </c>
      <c r="G40" s="50" t="s">
        <v>231</v>
      </c>
      <c r="H40" s="50">
        <v>0</v>
      </c>
      <c r="I40" s="92"/>
    </row>
    <row r="41" spans="2:9" x14ac:dyDescent="0.2">
      <c r="B41" s="244"/>
      <c r="C41" s="9" t="s">
        <v>82</v>
      </c>
      <c r="D41" s="10" t="s">
        <v>83</v>
      </c>
      <c r="E41" s="6" t="s">
        <v>16</v>
      </c>
      <c r="F41" s="50">
        <v>0</v>
      </c>
      <c r="G41" s="50" t="s">
        <v>231</v>
      </c>
      <c r="H41" s="50">
        <v>0</v>
      </c>
      <c r="I41" s="92"/>
    </row>
    <row r="42" spans="2:9" x14ac:dyDescent="0.2">
      <c r="B42" s="244"/>
      <c r="C42" s="9" t="s">
        <v>84</v>
      </c>
      <c r="D42" s="10" t="s">
        <v>85</v>
      </c>
      <c r="E42" s="6" t="s">
        <v>16</v>
      </c>
      <c r="F42" s="50">
        <v>15.643398844575101</v>
      </c>
      <c r="G42" s="50">
        <v>15.157636999999999</v>
      </c>
      <c r="H42" s="50">
        <v>14.785220000000001</v>
      </c>
      <c r="I42" s="92">
        <v>14.85624</v>
      </c>
    </row>
    <row r="43" spans="2:9" x14ac:dyDescent="0.2">
      <c r="B43" s="244"/>
      <c r="C43" s="9" t="s">
        <v>86</v>
      </c>
      <c r="D43" s="10" t="s">
        <v>87</v>
      </c>
      <c r="E43" s="6" t="s">
        <v>25</v>
      </c>
      <c r="F43" s="51">
        <f>1.855392*1000</f>
        <v>1855.3919999999998</v>
      </c>
      <c r="G43" s="51">
        <v>1855.2575999999999</v>
      </c>
      <c r="H43" s="51">
        <v>1855.258</v>
      </c>
      <c r="I43" s="94">
        <v>1680</v>
      </c>
    </row>
    <row r="44" spans="2:9" x14ac:dyDescent="0.2">
      <c r="B44" s="244"/>
      <c r="C44" s="9" t="s">
        <v>88</v>
      </c>
      <c r="D44" s="10" t="s">
        <v>89</v>
      </c>
      <c r="E44" s="6" t="s">
        <v>25</v>
      </c>
      <c r="F44" s="51">
        <f>0.647942788684472*1000</f>
        <v>647.94278868447202</v>
      </c>
      <c r="G44" s="51">
        <v>790.77137019999998</v>
      </c>
      <c r="H44" s="51">
        <v>594.37210000000005</v>
      </c>
      <c r="I44" s="94">
        <v>855.56709999999998</v>
      </c>
    </row>
    <row r="45" spans="2:9" x14ac:dyDescent="0.2">
      <c r="B45" s="244"/>
      <c r="C45" s="9" t="s">
        <v>90</v>
      </c>
      <c r="D45" s="10" t="s">
        <v>91</v>
      </c>
      <c r="E45" s="6" t="s">
        <v>16</v>
      </c>
      <c r="F45" s="50">
        <v>366.98861137898899</v>
      </c>
      <c r="G45" s="50">
        <v>363.71384840000002</v>
      </c>
      <c r="H45" s="50">
        <v>364.19839999999999</v>
      </c>
      <c r="I45" s="92">
        <v>366.91800000000001</v>
      </c>
    </row>
    <row r="46" spans="2:9" x14ac:dyDescent="0.2">
      <c r="B46" s="244"/>
      <c r="C46" s="9" t="s">
        <v>92</v>
      </c>
      <c r="D46" s="10" t="s">
        <v>93</v>
      </c>
      <c r="E46" s="6" t="s">
        <v>16</v>
      </c>
      <c r="F46" s="50">
        <v>23.203181806459199</v>
      </c>
      <c r="G46" s="50">
        <v>23.440012240000001</v>
      </c>
      <c r="H46" s="50">
        <v>23.203209999999999</v>
      </c>
      <c r="I46" s="92">
        <v>23.202999999999999</v>
      </c>
    </row>
    <row r="47" spans="2:9" x14ac:dyDescent="0.2">
      <c r="B47" s="244"/>
      <c r="C47" s="9" t="s">
        <v>94</v>
      </c>
      <c r="D47" s="10" t="s">
        <v>95</v>
      </c>
      <c r="E47" s="6" t="s">
        <v>16</v>
      </c>
      <c r="F47" s="50">
        <v>17.402386354844399</v>
      </c>
      <c r="G47" s="50">
        <v>17.580009180000001</v>
      </c>
      <c r="H47" s="50">
        <v>17.40241</v>
      </c>
      <c r="I47" s="92">
        <v>17.4024</v>
      </c>
    </row>
    <row r="48" spans="2:9" x14ac:dyDescent="0.2">
      <c r="B48" s="244"/>
      <c r="C48" s="9" t="s">
        <v>96</v>
      </c>
      <c r="D48" s="10" t="s">
        <v>97</v>
      </c>
      <c r="E48" s="6" t="s">
        <v>16</v>
      </c>
      <c r="F48" s="51">
        <v>0</v>
      </c>
      <c r="G48" s="51">
        <v>0</v>
      </c>
      <c r="H48" s="51">
        <v>0</v>
      </c>
      <c r="I48" s="94"/>
    </row>
    <row r="49" spans="2:11" x14ac:dyDescent="0.2">
      <c r="B49" s="244"/>
      <c r="C49" s="9" t="s">
        <v>98</v>
      </c>
      <c r="D49" s="10" t="s">
        <v>99</v>
      </c>
      <c r="E49" s="6" t="s">
        <v>16</v>
      </c>
      <c r="F49" s="50">
        <v>3.1872502481399998</v>
      </c>
      <c r="G49" s="50">
        <v>3.2171769000000001</v>
      </c>
      <c r="H49" s="50">
        <v>3.1872539999999998</v>
      </c>
      <c r="I49" s="92">
        <v>3.1871999999999998</v>
      </c>
    </row>
    <row r="50" spans="2:11" x14ac:dyDescent="0.2">
      <c r="B50" s="244"/>
      <c r="C50" s="9" t="s">
        <v>100</v>
      </c>
      <c r="D50" s="10" t="s">
        <v>101</v>
      </c>
      <c r="E50" s="6" t="s">
        <v>16</v>
      </c>
      <c r="F50" s="50">
        <v>4.2660099631800001</v>
      </c>
      <c r="G50" s="50">
        <v>4.3102913669999996</v>
      </c>
      <c r="H50" s="50">
        <v>4.2660960000000001</v>
      </c>
      <c r="I50" s="92">
        <v>4.266095</v>
      </c>
    </row>
    <row r="51" spans="2:11" x14ac:dyDescent="0.2">
      <c r="B51" s="244"/>
      <c r="C51" s="9" t="s">
        <v>102</v>
      </c>
      <c r="D51" s="10" t="s">
        <v>103</v>
      </c>
      <c r="E51" s="6" t="s">
        <v>25</v>
      </c>
      <c r="F51" s="51">
        <f>0.8286850645164*1000</f>
        <v>828.68506451639996</v>
      </c>
      <c r="G51" s="51">
        <v>836.46599400000002</v>
      </c>
      <c r="H51" s="51">
        <v>828.68600000000004</v>
      </c>
      <c r="I51" s="94">
        <v>828.68600000000004</v>
      </c>
    </row>
    <row r="52" spans="2:11" x14ac:dyDescent="0.2">
      <c r="B52" s="244"/>
      <c r="C52" s="9" t="s">
        <v>104</v>
      </c>
      <c r="D52" s="10" t="s">
        <v>105</v>
      </c>
      <c r="E52" s="6" t="s">
        <v>16</v>
      </c>
      <c r="F52" s="50">
        <v>43.792818409443598</v>
      </c>
      <c r="G52" s="50">
        <v>44.237198329999998</v>
      </c>
      <c r="H52" s="50">
        <v>43.792870000000001</v>
      </c>
      <c r="I52" s="92">
        <v>43.7928</v>
      </c>
    </row>
    <row r="53" spans="2:11" x14ac:dyDescent="0.2">
      <c r="B53" s="244"/>
      <c r="C53" s="9" t="s">
        <v>106</v>
      </c>
      <c r="D53" s="10" t="s">
        <v>107</v>
      </c>
      <c r="E53" s="6" t="s">
        <v>16</v>
      </c>
      <c r="F53" s="50">
        <v>0</v>
      </c>
      <c r="G53" s="50" t="s">
        <v>231</v>
      </c>
      <c r="H53" s="50">
        <v>0</v>
      </c>
      <c r="I53" s="92"/>
    </row>
    <row r="54" spans="2:11" x14ac:dyDescent="0.2">
      <c r="B54" s="244"/>
      <c r="C54" s="9" t="s">
        <v>108</v>
      </c>
      <c r="D54" s="10" t="s">
        <v>109</v>
      </c>
      <c r="E54" s="6" t="s">
        <v>16</v>
      </c>
      <c r="F54" s="50">
        <v>0</v>
      </c>
      <c r="G54" s="50" t="s">
        <v>231</v>
      </c>
      <c r="H54" s="50">
        <v>0</v>
      </c>
      <c r="I54" s="92"/>
    </row>
    <row r="55" spans="2:11" x14ac:dyDescent="0.2">
      <c r="B55" s="244"/>
      <c r="C55" s="9" t="s">
        <v>110</v>
      </c>
      <c r="D55" s="10" t="s">
        <v>111</v>
      </c>
      <c r="E55" s="6" t="s">
        <v>16</v>
      </c>
      <c r="F55" s="50"/>
      <c r="G55" s="50" t="s">
        <v>231</v>
      </c>
      <c r="H55" s="50">
        <v>0</v>
      </c>
      <c r="I55" s="92"/>
      <c r="K55" s="18"/>
    </row>
    <row r="56" spans="2:11" x14ac:dyDescent="0.2">
      <c r="B56" s="244"/>
      <c r="C56" s="9" t="s">
        <v>112</v>
      </c>
      <c r="D56" s="10" t="s">
        <v>113</v>
      </c>
      <c r="E56" s="6" t="s">
        <v>16</v>
      </c>
      <c r="F56" s="35"/>
      <c r="G56" s="35">
        <v>0</v>
      </c>
      <c r="H56" s="35">
        <v>0</v>
      </c>
      <c r="I56" s="93"/>
    </row>
    <row r="57" spans="2:11" x14ac:dyDescent="0.2">
      <c r="B57" s="244"/>
      <c r="C57" s="9" t="s">
        <v>114</v>
      </c>
      <c r="D57" s="10" t="s">
        <v>115</v>
      </c>
      <c r="E57" s="6" t="s">
        <v>25</v>
      </c>
      <c r="F57" s="35"/>
      <c r="G57" s="35" t="s">
        <v>231</v>
      </c>
      <c r="H57" s="35">
        <v>0</v>
      </c>
      <c r="I57" s="93"/>
    </row>
    <row r="58" spans="2:11" x14ac:dyDescent="0.2">
      <c r="B58" s="244"/>
      <c r="C58" s="9" t="s">
        <v>116</v>
      </c>
      <c r="D58" s="10" t="s">
        <v>117</v>
      </c>
      <c r="E58" s="20" t="s">
        <v>25</v>
      </c>
      <c r="F58" s="50"/>
      <c r="G58" s="50" t="s">
        <v>231</v>
      </c>
      <c r="H58" s="50">
        <v>0</v>
      </c>
      <c r="I58" s="92"/>
    </row>
    <row r="59" spans="2:11" x14ac:dyDescent="0.2">
      <c r="B59" s="244"/>
      <c r="C59" s="9" t="s">
        <v>118</v>
      </c>
      <c r="D59" s="10" t="s">
        <v>119</v>
      </c>
      <c r="E59" s="6" t="s">
        <v>16</v>
      </c>
      <c r="F59" s="50"/>
      <c r="G59" s="50">
        <v>0</v>
      </c>
      <c r="H59" s="50">
        <v>0</v>
      </c>
      <c r="I59" s="92"/>
    </row>
    <row r="60" spans="2:11" ht="16" thickBot="1" x14ac:dyDescent="0.25">
      <c r="B60" s="244"/>
      <c r="C60" s="9" t="s">
        <v>120</v>
      </c>
      <c r="D60" s="10" t="s">
        <v>121</v>
      </c>
      <c r="E60" s="6" t="s">
        <v>122</v>
      </c>
      <c r="F60" s="50"/>
      <c r="G60" s="50">
        <v>37.21636565</v>
      </c>
      <c r="H60" s="50">
        <v>36.989699999999999</v>
      </c>
      <c r="I60" s="92">
        <v>37.306699999999999</v>
      </c>
    </row>
    <row r="61" spans="2:11" x14ac:dyDescent="0.2">
      <c r="B61" s="236" t="s">
        <v>123</v>
      </c>
      <c r="C61" s="4" t="s">
        <v>124</v>
      </c>
      <c r="D61" s="5" t="s">
        <v>125</v>
      </c>
      <c r="E61" s="16" t="s">
        <v>126</v>
      </c>
      <c r="F61" s="52">
        <v>619.83702861926395</v>
      </c>
      <c r="G61" s="52">
        <v>616.6460204</v>
      </c>
      <c r="H61" s="52">
        <v>619.0498</v>
      </c>
      <c r="I61" s="95">
        <v>610.14179999999999</v>
      </c>
    </row>
    <row r="62" spans="2:11" x14ac:dyDescent="0.2">
      <c r="B62" s="244"/>
      <c r="C62" s="9" t="s">
        <v>127</v>
      </c>
      <c r="D62" s="10" t="s">
        <v>128</v>
      </c>
      <c r="E62" s="6" t="s">
        <v>129</v>
      </c>
      <c r="F62" s="80">
        <v>1160035.43105081</v>
      </c>
      <c r="G62" s="80">
        <v>1124602.3999999999</v>
      </c>
      <c r="H62" s="53">
        <v>1131493</v>
      </c>
      <c r="I62" s="96">
        <v>1128254.6769999999</v>
      </c>
    </row>
    <row r="63" spans="2:11" x14ac:dyDescent="0.2">
      <c r="B63" s="244"/>
      <c r="C63" s="9" t="s">
        <v>130</v>
      </c>
      <c r="D63" s="10" t="s">
        <v>131</v>
      </c>
      <c r="E63" s="6" t="s">
        <v>129</v>
      </c>
      <c r="F63" s="51">
        <v>7531751.3848888902</v>
      </c>
      <c r="G63" s="51">
        <v>7301366.5710000005</v>
      </c>
      <c r="H63" s="51">
        <v>7123062</v>
      </c>
      <c r="I63" s="94">
        <v>7157279.9893899998</v>
      </c>
    </row>
    <row r="64" spans="2:11" x14ac:dyDescent="0.2">
      <c r="B64" s="244"/>
      <c r="C64" s="9" t="s">
        <v>132</v>
      </c>
      <c r="D64" s="10" t="s">
        <v>133</v>
      </c>
      <c r="E64" s="6" t="s">
        <v>13</v>
      </c>
      <c r="F64" s="81">
        <v>0.60709462348281495</v>
      </c>
      <c r="G64" s="81">
        <v>0.60924842800000001</v>
      </c>
      <c r="H64" s="54">
        <v>0.60834200000000005</v>
      </c>
      <c r="I64" s="97"/>
    </row>
    <row r="65" spans="2:9" x14ac:dyDescent="0.2">
      <c r="B65" s="244"/>
      <c r="C65" s="9" t="s">
        <v>134</v>
      </c>
      <c r="D65" s="10" t="s">
        <v>135</v>
      </c>
      <c r="E65" s="6" t="s">
        <v>136</v>
      </c>
      <c r="F65" s="34">
        <v>7794</v>
      </c>
      <c r="G65" s="34">
        <v>7556</v>
      </c>
      <c r="H65" s="34"/>
      <c r="I65" s="98">
        <v>7581</v>
      </c>
    </row>
    <row r="66" spans="2:9" x14ac:dyDescent="0.2">
      <c r="B66" s="244"/>
      <c r="C66" s="9" t="s">
        <v>137</v>
      </c>
      <c r="D66" s="10" t="s">
        <v>138</v>
      </c>
      <c r="E66" s="6" t="s">
        <v>136</v>
      </c>
      <c r="F66" s="50">
        <v>3.83</v>
      </c>
      <c r="G66" s="50"/>
      <c r="H66" s="50">
        <v>3.8316029999999999</v>
      </c>
      <c r="I66" s="92">
        <v>3.8316029999999999</v>
      </c>
    </row>
    <row r="67" spans="2:9" x14ac:dyDescent="0.2">
      <c r="B67" s="244"/>
      <c r="C67" s="9" t="s">
        <v>139</v>
      </c>
      <c r="D67" s="10" t="s">
        <v>140</v>
      </c>
      <c r="E67" s="6" t="s">
        <v>141</v>
      </c>
      <c r="F67" s="50">
        <v>184.121658993783</v>
      </c>
      <c r="G67" s="50">
        <v>182.685461</v>
      </c>
      <c r="H67" s="50">
        <v>182.86660000000001</v>
      </c>
      <c r="I67" s="92">
        <v>182.67460700000001</v>
      </c>
    </row>
    <row r="68" spans="2:9" x14ac:dyDescent="0.2">
      <c r="B68" s="244"/>
      <c r="C68" s="9" t="s">
        <v>142</v>
      </c>
      <c r="D68" s="40" t="s">
        <v>143</v>
      </c>
      <c r="E68" s="6" t="s">
        <v>126</v>
      </c>
      <c r="F68" s="55">
        <v>537.56643658988401</v>
      </c>
      <c r="G68" s="55">
        <v>534.93771100000004</v>
      </c>
      <c r="H68" s="55">
        <v>536.45799999999997</v>
      </c>
      <c r="I68" s="92">
        <v>537.75347999999997</v>
      </c>
    </row>
    <row r="69" spans="2:9" x14ac:dyDescent="0.2">
      <c r="B69" s="244"/>
      <c r="C69" s="9" t="s">
        <v>144</v>
      </c>
      <c r="D69" s="10" t="s">
        <v>145</v>
      </c>
      <c r="E69" s="6" t="s">
        <v>141</v>
      </c>
      <c r="F69" s="34"/>
      <c r="G69" s="34"/>
      <c r="H69" s="34"/>
      <c r="I69" s="98">
        <v>20.384692699999999</v>
      </c>
    </row>
    <row r="70" spans="2:9" x14ac:dyDescent="0.2">
      <c r="B70" s="244"/>
      <c r="C70" s="9" t="s">
        <v>146</v>
      </c>
      <c r="D70" s="10" t="s">
        <v>147</v>
      </c>
      <c r="E70" s="6" t="s">
        <v>141</v>
      </c>
      <c r="F70" s="34"/>
      <c r="G70" s="34"/>
      <c r="H70" s="34"/>
      <c r="I70" s="98"/>
    </row>
    <row r="71" spans="2:9" x14ac:dyDescent="0.2">
      <c r="B71" s="244"/>
      <c r="C71" s="9" t="s">
        <v>148</v>
      </c>
      <c r="D71" s="10" t="s">
        <v>149</v>
      </c>
      <c r="E71" s="6" t="s">
        <v>13</v>
      </c>
      <c r="F71" s="81">
        <v>0.86826977922998005</v>
      </c>
      <c r="G71" s="81">
        <v>0.86749560299999995</v>
      </c>
      <c r="H71" s="54">
        <v>0.86661600000000005</v>
      </c>
      <c r="I71" s="97">
        <v>88.135800000000003</v>
      </c>
    </row>
    <row r="72" spans="2:9" x14ac:dyDescent="0.2">
      <c r="B72" s="244"/>
      <c r="C72" s="9" t="s">
        <v>150</v>
      </c>
      <c r="D72" s="10" t="s">
        <v>151</v>
      </c>
      <c r="E72" s="6" t="s">
        <v>13</v>
      </c>
      <c r="F72" s="34"/>
      <c r="G72" s="34"/>
      <c r="H72" s="34"/>
      <c r="I72" s="98"/>
    </row>
    <row r="73" spans="2:9" x14ac:dyDescent="0.2">
      <c r="B73" s="244"/>
      <c r="C73" s="9" t="s">
        <v>152</v>
      </c>
      <c r="D73" s="10" t="s">
        <v>153</v>
      </c>
      <c r="E73" s="6" t="s">
        <v>129</v>
      </c>
      <c r="F73" s="50">
        <v>1334.3108459887401</v>
      </c>
      <c r="G73" s="50">
        <v>1294.38861</v>
      </c>
      <c r="H73" s="50">
        <v>1315.2829999999999</v>
      </c>
      <c r="I73" s="92">
        <v>1304.7819999999999</v>
      </c>
    </row>
    <row r="74" spans="2:9" x14ac:dyDescent="0.2">
      <c r="B74" s="244"/>
      <c r="C74" s="9" t="s">
        <v>154</v>
      </c>
      <c r="D74" s="10" t="s">
        <v>155</v>
      </c>
      <c r="E74" s="6" t="s">
        <v>156</v>
      </c>
      <c r="F74" s="34">
        <v>1364.51203614833</v>
      </c>
      <c r="G74" s="34">
        <v>1357.8395069999999</v>
      </c>
      <c r="H74" s="34"/>
      <c r="I74" s="98">
        <v>1374.3159000000001</v>
      </c>
    </row>
    <row r="75" spans="2:9" x14ac:dyDescent="0.2">
      <c r="B75" s="244"/>
      <c r="C75" s="9" t="s">
        <v>157</v>
      </c>
      <c r="D75" s="10" t="s">
        <v>158</v>
      </c>
      <c r="E75" s="6" t="s">
        <v>159</v>
      </c>
      <c r="F75" s="34">
        <v>550</v>
      </c>
      <c r="G75" s="34">
        <v>550</v>
      </c>
      <c r="H75" s="34"/>
      <c r="I75" s="98">
        <v>550</v>
      </c>
    </row>
    <row r="76" spans="2:9" x14ac:dyDescent="0.2">
      <c r="B76" s="244"/>
      <c r="C76" s="9" t="s">
        <v>160</v>
      </c>
      <c r="D76" s="23" t="s">
        <v>160</v>
      </c>
      <c r="E76" s="6" t="s">
        <v>159</v>
      </c>
      <c r="F76" s="34">
        <v>290</v>
      </c>
      <c r="G76" s="34">
        <v>290</v>
      </c>
      <c r="H76" s="34"/>
      <c r="I76" s="98">
        <v>290</v>
      </c>
    </row>
    <row r="77" spans="2:9" x14ac:dyDescent="0.2">
      <c r="B77" s="244"/>
      <c r="C77" s="9" t="s">
        <v>161</v>
      </c>
      <c r="D77" s="10" t="s">
        <v>162</v>
      </c>
      <c r="E77" s="6" t="s">
        <v>126</v>
      </c>
      <c r="F77" s="34">
        <v>0</v>
      </c>
      <c r="G77" s="34"/>
      <c r="H77" s="34">
        <v>0</v>
      </c>
      <c r="I77" s="98"/>
    </row>
    <row r="78" spans="2:9" x14ac:dyDescent="0.2">
      <c r="B78" s="244"/>
      <c r="C78" s="9" t="s">
        <v>163</v>
      </c>
      <c r="D78" s="10" t="s">
        <v>164</v>
      </c>
      <c r="E78" s="6" t="s">
        <v>13</v>
      </c>
      <c r="F78" s="82">
        <v>0.95</v>
      </c>
      <c r="G78" s="82"/>
      <c r="H78" s="56">
        <v>0.95</v>
      </c>
      <c r="I78" s="100"/>
    </row>
    <row r="79" spans="2:9" x14ac:dyDescent="0.2">
      <c r="B79" s="244"/>
      <c r="C79" s="9" t="s">
        <v>165</v>
      </c>
      <c r="D79" s="10" t="s">
        <v>166</v>
      </c>
      <c r="E79" s="6" t="s">
        <v>156</v>
      </c>
      <c r="F79" s="34">
        <v>0</v>
      </c>
      <c r="G79" s="34">
        <v>0</v>
      </c>
      <c r="H79" s="34"/>
      <c r="I79" s="98"/>
    </row>
    <row r="80" spans="2:9" x14ac:dyDescent="0.2">
      <c r="B80" s="244"/>
      <c r="C80" s="9" t="s">
        <v>167</v>
      </c>
      <c r="D80" s="10" t="s">
        <v>168</v>
      </c>
      <c r="E80" s="6" t="s">
        <v>126</v>
      </c>
      <c r="F80" s="34">
        <v>0</v>
      </c>
      <c r="G80" s="34">
        <v>0</v>
      </c>
      <c r="H80" s="34">
        <v>0</v>
      </c>
      <c r="I80" s="98"/>
    </row>
    <row r="81" spans="2:9" x14ac:dyDescent="0.2">
      <c r="B81" s="244"/>
      <c r="C81" s="9" t="s">
        <v>169</v>
      </c>
      <c r="D81" s="10" t="s">
        <v>170</v>
      </c>
      <c r="E81" s="6" t="s">
        <v>126</v>
      </c>
      <c r="F81" s="34">
        <v>0</v>
      </c>
      <c r="G81" s="34">
        <v>0</v>
      </c>
      <c r="H81" s="34"/>
      <c r="I81" s="98"/>
    </row>
    <row r="82" spans="2:9" x14ac:dyDescent="0.2">
      <c r="B82" s="244"/>
      <c r="C82" s="9" t="s">
        <v>171</v>
      </c>
      <c r="D82" s="10" t="s">
        <v>172</v>
      </c>
      <c r="E82" s="6" t="s">
        <v>173</v>
      </c>
      <c r="F82" s="34">
        <v>20.04</v>
      </c>
      <c r="G82" s="34"/>
      <c r="H82" s="34">
        <v>20.048300000000001</v>
      </c>
      <c r="I82" s="98">
        <v>20</v>
      </c>
    </row>
    <row r="83" spans="2:9" x14ac:dyDescent="0.2">
      <c r="B83" s="244"/>
      <c r="C83" s="9" t="s">
        <v>174</v>
      </c>
      <c r="D83" s="10" t="s">
        <v>175</v>
      </c>
      <c r="E83" s="6" t="s">
        <v>141</v>
      </c>
      <c r="F83" s="34"/>
      <c r="G83" s="34"/>
      <c r="H83" s="34"/>
      <c r="I83" s="98">
        <v>12</v>
      </c>
    </row>
    <row r="84" spans="2:9" x14ac:dyDescent="0.2">
      <c r="B84" s="244"/>
      <c r="C84" s="9" t="s">
        <v>176</v>
      </c>
      <c r="D84" s="10" t="s">
        <v>177</v>
      </c>
      <c r="E84" s="6" t="s">
        <v>141</v>
      </c>
      <c r="F84" s="34"/>
      <c r="G84" s="34"/>
      <c r="H84" s="34"/>
      <c r="I84" s="98"/>
    </row>
    <row r="85" spans="2:9" x14ac:dyDescent="0.2">
      <c r="B85" s="244"/>
      <c r="C85" s="9" t="s">
        <v>178</v>
      </c>
      <c r="D85" s="10" t="s">
        <v>179</v>
      </c>
      <c r="E85" s="6" t="s">
        <v>129</v>
      </c>
      <c r="F85" s="34"/>
      <c r="G85" s="34"/>
      <c r="H85" s="34"/>
      <c r="I85" s="98"/>
    </row>
    <row r="86" spans="2:9" x14ac:dyDescent="0.2">
      <c r="B86" s="244"/>
      <c r="C86" s="9" t="s">
        <v>180</v>
      </c>
      <c r="D86" s="40" t="s">
        <v>181</v>
      </c>
      <c r="E86" s="6" t="s">
        <v>182</v>
      </c>
      <c r="F86" s="35">
        <f>F82*F87</f>
        <v>2812.7497099898833</v>
      </c>
      <c r="G86" s="35">
        <v>2806.94</v>
      </c>
      <c r="H86" s="35">
        <v>2806.9369999999999</v>
      </c>
      <c r="I86" s="93">
        <v>2806.9373712850702</v>
      </c>
    </row>
    <row r="87" spans="2:9" x14ac:dyDescent="0.2">
      <c r="B87" s="244"/>
      <c r="C87" s="9" t="s">
        <v>183</v>
      </c>
      <c r="D87" s="10" t="s">
        <v>184</v>
      </c>
      <c r="E87" s="6" t="s">
        <v>126</v>
      </c>
      <c r="F87" s="50">
        <v>140.35677195558301</v>
      </c>
      <c r="G87" s="50">
        <v>140.72896259999999</v>
      </c>
      <c r="H87" s="50">
        <v>140.00880000000001</v>
      </c>
      <c r="I87" s="92">
        <v>140.346868</v>
      </c>
    </row>
    <row r="88" spans="2:9" x14ac:dyDescent="0.2">
      <c r="B88" s="244"/>
      <c r="C88" s="9" t="s">
        <v>36</v>
      </c>
      <c r="D88" s="10" t="s">
        <v>185</v>
      </c>
      <c r="E88" s="6" t="s">
        <v>13</v>
      </c>
      <c r="F88" s="83">
        <v>0.39230749999999998</v>
      </c>
      <c r="G88" s="83">
        <v>0.39235704599999999</v>
      </c>
      <c r="H88" s="57">
        <v>0.39437499999999998</v>
      </c>
      <c r="I88" s="101">
        <v>0.39340000000000003</v>
      </c>
    </row>
    <row r="89" spans="2:9" x14ac:dyDescent="0.2">
      <c r="B89" s="244"/>
      <c r="C89" s="9" t="s">
        <v>186</v>
      </c>
      <c r="D89" s="10" t="s">
        <v>187</v>
      </c>
      <c r="E89" s="6" t="s">
        <v>159</v>
      </c>
      <c r="F89" s="34">
        <v>540</v>
      </c>
      <c r="G89" s="34"/>
      <c r="H89" s="34"/>
      <c r="I89" s="98"/>
    </row>
    <row r="90" spans="2:9" x14ac:dyDescent="0.2">
      <c r="B90" s="244"/>
      <c r="C90" s="9" t="s">
        <v>188</v>
      </c>
      <c r="D90" s="10" t="s">
        <v>189</v>
      </c>
      <c r="E90" s="6" t="s">
        <v>159</v>
      </c>
      <c r="F90" s="34">
        <v>550</v>
      </c>
      <c r="G90" s="34">
        <v>550</v>
      </c>
      <c r="H90" s="34">
        <v>550</v>
      </c>
      <c r="I90" s="98">
        <v>550</v>
      </c>
    </row>
    <row r="91" spans="2:9" x14ac:dyDescent="0.2">
      <c r="B91" s="244"/>
      <c r="C91" s="9" t="s">
        <v>190</v>
      </c>
      <c r="D91" s="10" t="s">
        <v>191</v>
      </c>
      <c r="E91" s="6" t="s">
        <v>159</v>
      </c>
      <c r="F91" s="34">
        <v>290</v>
      </c>
      <c r="G91" s="51">
        <v>290.1764</v>
      </c>
      <c r="H91" s="34">
        <v>290</v>
      </c>
      <c r="I91" s="98">
        <v>290</v>
      </c>
    </row>
    <row r="92" spans="2:9" x14ac:dyDescent="0.2">
      <c r="B92" s="244"/>
      <c r="C92" s="9" t="s">
        <v>192</v>
      </c>
      <c r="D92" s="10" t="s">
        <v>193</v>
      </c>
      <c r="E92" s="6" t="s">
        <v>159</v>
      </c>
      <c r="F92" s="34">
        <v>30</v>
      </c>
      <c r="G92" s="34">
        <v>30</v>
      </c>
      <c r="H92" s="34">
        <v>30</v>
      </c>
      <c r="I92" s="98">
        <v>30</v>
      </c>
    </row>
    <row r="93" spans="2:9" x14ac:dyDescent="0.2">
      <c r="B93" s="244"/>
      <c r="C93" s="9" t="s">
        <v>194</v>
      </c>
      <c r="D93" s="10" t="s">
        <v>195</v>
      </c>
      <c r="E93" s="6" t="s">
        <v>126</v>
      </c>
      <c r="F93" s="50">
        <v>58</v>
      </c>
      <c r="G93" s="50">
        <v>58</v>
      </c>
      <c r="H93" s="50">
        <v>58</v>
      </c>
      <c r="I93" s="92">
        <v>58</v>
      </c>
    </row>
    <row r="94" spans="2:9" x14ac:dyDescent="0.2">
      <c r="B94" s="244"/>
      <c r="C94" s="9" t="s">
        <v>196</v>
      </c>
      <c r="D94" s="40" t="s">
        <v>197</v>
      </c>
      <c r="E94" s="6" t="s">
        <v>126</v>
      </c>
      <c r="F94" s="50">
        <v>55.22</v>
      </c>
      <c r="G94" s="50">
        <v>55.216000000000001</v>
      </c>
      <c r="H94" s="50">
        <v>55.216000000000001</v>
      </c>
      <c r="I94" s="92">
        <v>55.215999999999902</v>
      </c>
    </row>
    <row r="95" spans="2:9" x14ac:dyDescent="0.2">
      <c r="B95" s="244"/>
      <c r="C95" s="9" t="s">
        <v>198</v>
      </c>
      <c r="D95" s="40" t="s">
        <v>199</v>
      </c>
      <c r="E95" s="6" t="s">
        <v>126</v>
      </c>
      <c r="F95" s="35">
        <v>75.900000000000006</v>
      </c>
      <c r="G95" s="117">
        <v>76.599450000000004</v>
      </c>
      <c r="H95" s="35">
        <v>75.887</v>
      </c>
      <c r="I95" s="93">
        <v>75.886910670000006</v>
      </c>
    </row>
    <row r="96" spans="2:9" x14ac:dyDescent="0.2">
      <c r="B96" s="244"/>
      <c r="C96" s="9" t="s">
        <v>200</v>
      </c>
      <c r="D96" s="10" t="s">
        <v>201</v>
      </c>
      <c r="E96" s="6" t="s">
        <v>126</v>
      </c>
      <c r="F96" s="35">
        <v>98.67</v>
      </c>
      <c r="G96" s="35">
        <v>99.659915999999996</v>
      </c>
      <c r="H96" s="35">
        <v>98.653099999999995</v>
      </c>
      <c r="I96" s="93">
        <v>98.653099999999995</v>
      </c>
    </row>
    <row r="97" spans="2:9" x14ac:dyDescent="0.2">
      <c r="B97" s="244"/>
      <c r="C97" s="9" t="s">
        <v>202</v>
      </c>
      <c r="D97" s="10" t="s">
        <v>203</v>
      </c>
      <c r="E97" s="6" t="s">
        <v>136</v>
      </c>
      <c r="F97" s="34">
        <v>1.3</v>
      </c>
      <c r="G97" s="35">
        <v>1.301052632</v>
      </c>
      <c r="H97" s="34">
        <v>1.3</v>
      </c>
      <c r="I97" s="98">
        <v>1.3</v>
      </c>
    </row>
    <row r="98" spans="2:9" x14ac:dyDescent="0.2">
      <c r="B98" s="244"/>
      <c r="C98" s="9" t="s">
        <v>204</v>
      </c>
      <c r="D98" s="10" t="s">
        <v>205</v>
      </c>
      <c r="E98" s="6" t="s">
        <v>129</v>
      </c>
      <c r="F98" s="80">
        <v>548166.66666666605</v>
      </c>
      <c r="G98" s="80">
        <v>553666.19999999995</v>
      </c>
      <c r="H98" s="53">
        <v>548072.80000000005</v>
      </c>
      <c r="I98" s="96">
        <v>548072.77</v>
      </c>
    </row>
    <row r="99" spans="2:9" x14ac:dyDescent="0.2">
      <c r="B99" s="244"/>
      <c r="C99" s="9" t="s">
        <v>206</v>
      </c>
      <c r="D99" s="10" t="s">
        <v>207</v>
      </c>
      <c r="E99" s="6" t="s">
        <v>129</v>
      </c>
      <c r="F99" s="80">
        <v>2055618.75</v>
      </c>
      <c r="G99" s="80">
        <v>2076248.25</v>
      </c>
      <c r="H99" s="53">
        <v>2055273</v>
      </c>
      <c r="I99" s="96">
        <v>2055272.916</v>
      </c>
    </row>
    <row r="100" spans="2:9" x14ac:dyDescent="0.2">
      <c r="B100" s="244"/>
      <c r="C100" s="9" t="s">
        <v>208</v>
      </c>
      <c r="D100" s="10" t="s">
        <v>209</v>
      </c>
      <c r="E100" s="6" t="s">
        <v>136</v>
      </c>
      <c r="F100" s="34">
        <v>0.4</v>
      </c>
      <c r="G100" s="34">
        <v>0.4</v>
      </c>
      <c r="H100" s="34">
        <v>0.4</v>
      </c>
      <c r="I100" s="98">
        <v>0.4</v>
      </c>
    </row>
    <row r="101" spans="2:9" x14ac:dyDescent="0.2">
      <c r="B101" s="244"/>
      <c r="C101" s="9" t="s">
        <v>210</v>
      </c>
      <c r="D101" s="10" t="s">
        <v>211</v>
      </c>
      <c r="E101" s="6" t="s">
        <v>212</v>
      </c>
      <c r="F101" s="34">
        <v>37</v>
      </c>
      <c r="G101" s="34">
        <v>37</v>
      </c>
      <c r="H101" s="34">
        <v>37</v>
      </c>
      <c r="I101" s="98">
        <v>37</v>
      </c>
    </row>
    <row r="102" spans="2:9" x14ac:dyDescent="0.2">
      <c r="B102" s="244"/>
      <c r="C102" s="9" t="s">
        <v>213</v>
      </c>
      <c r="D102" s="10" t="s">
        <v>214</v>
      </c>
      <c r="E102" s="6" t="s">
        <v>212</v>
      </c>
      <c r="F102" s="34">
        <v>0</v>
      </c>
      <c r="G102" s="34">
        <v>0</v>
      </c>
      <c r="H102" s="34">
        <v>0</v>
      </c>
      <c r="I102" s="98">
        <v>0</v>
      </c>
    </row>
    <row r="103" spans="2:9" x14ac:dyDescent="0.2">
      <c r="B103" s="244"/>
      <c r="C103" s="9" t="s">
        <v>215</v>
      </c>
      <c r="D103" s="10" t="s">
        <v>216</v>
      </c>
      <c r="E103" s="6" t="s">
        <v>13</v>
      </c>
      <c r="F103" s="82">
        <v>0.95</v>
      </c>
      <c r="G103" s="82">
        <v>0.95</v>
      </c>
      <c r="H103" s="56">
        <v>95</v>
      </c>
      <c r="I103" s="100">
        <v>95</v>
      </c>
    </row>
    <row r="104" spans="2:9" x14ac:dyDescent="0.2">
      <c r="B104" s="244"/>
      <c r="C104" s="9" t="s">
        <v>217</v>
      </c>
      <c r="D104" s="10" t="s">
        <v>218</v>
      </c>
      <c r="E104" s="6" t="s">
        <v>126</v>
      </c>
      <c r="F104" s="34">
        <v>50</v>
      </c>
      <c r="G104" s="34">
        <v>50</v>
      </c>
      <c r="H104" s="34">
        <v>50</v>
      </c>
      <c r="I104" s="98">
        <v>50</v>
      </c>
    </row>
    <row r="105" spans="2:9" x14ac:dyDescent="0.2">
      <c r="B105" s="244"/>
      <c r="C105" s="9" t="s">
        <v>219</v>
      </c>
      <c r="D105" s="10" t="s">
        <v>220</v>
      </c>
      <c r="E105" s="6" t="s">
        <v>173</v>
      </c>
      <c r="F105" s="34"/>
      <c r="G105" s="34"/>
      <c r="H105" s="34">
        <v>0</v>
      </c>
      <c r="I105" s="98"/>
    </row>
    <row r="106" spans="2:9" x14ac:dyDescent="0.2">
      <c r="B106" s="244"/>
      <c r="C106" s="9" t="s">
        <v>221</v>
      </c>
      <c r="D106" s="40" t="s">
        <v>222</v>
      </c>
      <c r="E106" s="6" t="s">
        <v>126</v>
      </c>
      <c r="F106" s="34">
        <v>0</v>
      </c>
      <c r="G106" s="34">
        <v>0</v>
      </c>
      <c r="H106" s="34">
        <v>0</v>
      </c>
      <c r="I106" s="98">
        <v>0</v>
      </c>
    </row>
    <row r="107" spans="2:9" x14ac:dyDescent="0.2">
      <c r="B107" s="244"/>
      <c r="C107" s="9" t="s">
        <v>223</v>
      </c>
      <c r="D107" s="40" t="s">
        <v>224</v>
      </c>
      <c r="E107" s="6" t="s">
        <v>182</v>
      </c>
      <c r="F107" s="34"/>
      <c r="G107" s="34"/>
      <c r="H107" s="34">
        <v>0</v>
      </c>
      <c r="I107" s="98">
        <v>0</v>
      </c>
    </row>
    <row r="108" spans="2:9" x14ac:dyDescent="0.2">
      <c r="B108" s="244"/>
      <c r="C108" s="9"/>
      <c r="D108" s="10" t="s">
        <v>225</v>
      </c>
      <c r="E108" s="6"/>
      <c r="F108" s="35">
        <v>0</v>
      </c>
      <c r="G108" s="35">
        <v>0</v>
      </c>
      <c r="H108" s="35">
        <v>0</v>
      </c>
      <c r="I108" s="93"/>
    </row>
    <row r="109" spans="2:9" x14ac:dyDescent="0.2">
      <c r="B109" s="244"/>
      <c r="C109" s="9" t="s">
        <v>226</v>
      </c>
      <c r="D109" s="10" t="s">
        <v>227</v>
      </c>
      <c r="E109" s="6" t="s">
        <v>136</v>
      </c>
      <c r="F109" s="34">
        <v>0</v>
      </c>
      <c r="G109" s="34">
        <v>0</v>
      </c>
      <c r="H109" s="34">
        <v>0</v>
      </c>
      <c r="I109" s="98"/>
    </row>
    <row r="110" spans="2:9" ht="16" thickBot="1" x14ac:dyDescent="0.25">
      <c r="B110" s="237"/>
      <c r="C110" s="24" t="s">
        <v>228</v>
      </c>
      <c r="D110" s="15" t="s">
        <v>229</v>
      </c>
      <c r="E110" s="25" t="s">
        <v>136</v>
      </c>
      <c r="F110" s="58">
        <v>0</v>
      </c>
      <c r="G110" s="58">
        <v>0</v>
      </c>
      <c r="H110" s="58">
        <v>0</v>
      </c>
      <c r="I110" s="102"/>
    </row>
    <row r="111" spans="2:9" ht="16" x14ac:dyDescent="0.2">
      <c r="D111" s="1" t="s">
        <v>230</v>
      </c>
      <c r="I111" s="41">
        <v>0.84</v>
      </c>
    </row>
    <row r="115" spans="2:14" s="1" customFormat="1" x14ac:dyDescent="0.2">
      <c r="B115"/>
      <c r="F115" s="37"/>
      <c r="G115" s="37"/>
      <c r="H115" s="37"/>
      <c r="I115" s="38"/>
      <c r="J115"/>
      <c r="K115"/>
      <c r="L115"/>
      <c r="M115"/>
      <c r="N115"/>
    </row>
    <row r="116" spans="2:14" s="1" customFormat="1" x14ac:dyDescent="0.2">
      <c r="B116"/>
      <c r="F116" s="37"/>
      <c r="G116" s="37"/>
      <c r="H116" s="37"/>
      <c r="I116" s="38"/>
      <c r="J116"/>
      <c r="K116"/>
      <c r="L116"/>
      <c r="M116"/>
      <c r="N116"/>
    </row>
    <row r="117" spans="2:14" s="1" customFormat="1" x14ac:dyDescent="0.2">
      <c r="B117"/>
      <c r="F117" s="37"/>
      <c r="G117" s="37"/>
      <c r="H117" s="37"/>
      <c r="I117" s="38"/>
      <c r="J117"/>
      <c r="K117"/>
      <c r="L117"/>
      <c r="M117"/>
      <c r="N117"/>
    </row>
    <row r="118" spans="2:14" s="1" customFormat="1" x14ac:dyDescent="0.2">
      <c r="B118"/>
      <c r="F118" s="37"/>
      <c r="G118" s="37"/>
      <c r="H118" s="37"/>
      <c r="I118" s="38"/>
      <c r="J118"/>
      <c r="K118"/>
      <c r="L118"/>
      <c r="M118"/>
      <c r="N118"/>
    </row>
    <row r="119" spans="2:14" s="1" customFormat="1" x14ac:dyDescent="0.2">
      <c r="B119"/>
      <c r="F119" s="37"/>
      <c r="G119" s="37"/>
      <c r="H119" s="37"/>
      <c r="I119" s="38"/>
      <c r="J119"/>
      <c r="K119"/>
      <c r="L119"/>
      <c r="M119"/>
      <c r="N119"/>
    </row>
    <row r="121" spans="2:14" s="1" customFormat="1" x14ac:dyDescent="0.2">
      <c r="B121"/>
      <c r="F121" s="37"/>
      <c r="G121" s="37"/>
      <c r="H121" s="37"/>
      <c r="I121" s="39"/>
      <c r="J121"/>
      <c r="K121"/>
      <c r="L121"/>
      <c r="M121"/>
      <c r="N121"/>
    </row>
    <row r="127" spans="2:14" s="1" customFormat="1" x14ac:dyDescent="0.2">
      <c r="B127"/>
      <c r="F127" s="37"/>
      <c r="G127" s="37"/>
      <c r="H127" s="37"/>
      <c r="I127" s="38"/>
      <c r="J127"/>
      <c r="K127"/>
      <c r="L127"/>
      <c r="M127"/>
      <c r="N127"/>
    </row>
    <row r="133" spans="2:14" s="1" customFormat="1" x14ac:dyDescent="0.2">
      <c r="B133"/>
      <c r="F133" s="37"/>
      <c r="G133" s="37"/>
      <c r="H133" s="37"/>
      <c r="I133" s="38"/>
      <c r="J133"/>
      <c r="K133"/>
      <c r="L133"/>
      <c r="M133"/>
      <c r="N133"/>
    </row>
    <row r="134" spans="2:14" s="1" customFormat="1" x14ac:dyDescent="0.2">
      <c r="B134"/>
      <c r="F134" s="37"/>
      <c r="G134" s="37"/>
      <c r="H134" s="37"/>
      <c r="I134" s="38"/>
      <c r="J134"/>
      <c r="K134"/>
      <c r="L134"/>
      <c r="M134"/>
      <c r="N134"/>
    </row>
    <row r="135" spans="2:14" s="1" customFormat="1" x14ac:dyDescent="0.2">
      <c r="B135"/>
      <c r="F135" s="37"/>
      <c r="G135" s="37"/>
      <c r="H135" s="37"/>
      <c r="I135" s="38"/>
      <c r="J135"/>
      <c r="K135"/>
      <c r="L135"/>
      <c r="M135"/>
      <c r="N135"/>
    </row>
    <row r="136" spans="2:14" s="1" customFormat="1" x14ac:dyDescent="0.2">
      <c r="B136"/>
      <c r="F136" s="37"/>
      <c r="G136" s="37"/>
      <c r="H136" s="37"/>
      <c r="I136" s="38"/>
      <c r="J136"/>
      <c r="K136"/>
      <c r="L136"/>
      <c r="M136"/>
      <c r="N136"/>
    </row>
    <row r="137" spans="2:14" s="1" customFormat="1" x14ac:dyDescent="0.2">
      <c r="B137"/>
      <c r="F137" s="37"/>
      <c r="G137" s="37"/>
      <c r="H137" s="37"/>
      <c r="I137" s="38"/>
      <c r="J137"/>
      <c r="K137"/>
      <c r="L137"/>
      <c r="M137"/>
      <c r="N137"/>
    </row>
    <row r="138" spans="2:14" s="1" customFormat="1" x14ac:dyDescent="0.2">
      <c r="B138"/>
      <c r="F138" s="37"/>
      <c r="G138" s="37"/>
      <c r="H138" s="37"/>
      <c r="I138" s="38"/>
      <c r="J138"/>
      <c r="K138"/>
      <c r="L138"/>
      <c r="M138"/>
      <c r="N138"/>
    </row>
  </sheetData>
  <mergeCells count="8">
    <mergeCell ref="E2:E3"/>
    <mergeCell ref="F2:I2"/>
    <mergeCell ref="B4:B30"/>
    <mergeCell ref="B31:B60"/>
    <mergeCell ref="B61:B110"/>
    <mergeCell ref="B2:B3"/>
    <mergeCell ref="C2:C3"/>
    <mergeCell ref="D2:D3"/>
  </mergeCells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2DBFE1-8B03-C445-90E8-130960EB9D64}">
  <dimension ref="B1:N138"/>
  <sheetViews>
    <sheetView topLeftCell="C1" zoomScale="85" zoomScaleNormal="85" workbookViewId="0">
      <selection activeCell="F6" sqref="F6"/>
    </sheetView>
  </sheetViews>
  <sheetFormatPr baseColWidth="10" defaultColWidth="8.6640625" defaultRowHeight="15" x14ac:dyDescent="0.2"/>
  <cols>
    <col min="2" max="2" width="16.6640625" customWidth="1"/>
    <col min="3" max="3" width="20.33203125" style="1" bestFit="1" customWidth="1"/>
    <col min="4" max="4" width="43" style="1" bestFit="1" customWidth="1"/>
    <col min="5" max="5" width="12.5" style="1" customWidth="1"/>
    <col min="6" max="6" width="17.5" style="37" bestFit="1" customWidth="1"/>
    <col min="7" max="7" width="19.33203125" style="37" bestFit="1" customWidth="1"/>
    <col min="8" max="8" width="14.6640625" style="37" bestFit="1" customWidth="1"/>
    <col min="9" max="9" width="16.33203125" style="38" bestFit="1" customWidth="1"/>
  </cols>
  <sheetData>
    <row r="1" spans="2:9" ht="16" thickBot="1" x14ac:dyDescent="0.25">
      <c r="F1"/>
      <c r="G1"/>
      <c r="H1"/>
      <c r="I1" s="1"/>
    </row>
    <row r="2" spans="2:9" ht="16" thickBot="1" x14ac:dyDescent="0.25">
      <c r="B2" s="245" t="s">
        <v>0</v>
      </c>
      <c r="C2" s="247" t="s">
        <v>1</v>
      </c>
      <c r="D2" s="249" t="s">
        <v>2</v>
      </c>
      <c r="E2" s="236" t="s">
        <v>3</v>
      </c>
      <c r="F2" s="238" t="s">
        <v>4</v>
      </c>
      <c r="G2" s="239"/>
      <c r="H2" s="239"/>
      <c r="I2" s="240"/>
    </row>
    <row r="3" spans="2:9" s="1" customFormat="1" ht="16" thickBot="1" x14ac:dyDescent="0.25">
      <c r="B3" s="246"/>
      <c r="C3" s="248"/>
      <c r="D3" s="250"/>
      <c r="E3" s="237"/>
      <c r="F3" s="62" t="s">
        <v>237</v>
      </c>
      <c r="G3" s="146" t="s">
        <v>238</v>
      </c>
      <c r="H3" s="147" t="s">
        <v>239</v>
      </c>
      <c r="I3" s="148" t="s">
        <v>240</v>
      </c>
    </row>
    <row r="4" spans="2:9" x14ac:dyDescent="0.2">
      <c r="B4" s="241" t="s">
        <v>5</v>
      </c>
      <c r="C4" s="4" t="s">
        <v>6</v>
      </c>
      <c r="D4" s="5" t="s">
        <v>7</v>
      </c>
      <c r="E4" s="6" t="s">
        <v>8</v>
      </c>
      <c r="F4" s="176">
        <v>110.835140851495</v>
      </c>
      <c r="G4" s="176">
        <v>101.33699660000001</v>
      </c>
      <c r="H4" s="177">
        <v>106.5002370052142</v>
      </c>
      <c r="I4" s="178">
        <v>108.6382928</v>
      </c>
    </row>
    <row r="5" spans="2:9" x14ac:dyDescent="0.2">
      <c r="B5" s="242"/>
      <c r="C5" s="9"/>
      <c r="D5" s="10" t="s">
        <v>9</v>
      </c>
      <c r="E5" s="6" t="s">
        <v>10</v>
      </c>
      <c r="F5" s="179"/>
      <c r="G5" s="179" t="s">
        <v>231</v>
      </c>
      <c r="H5" s="180">
        <v>0</v>
      </c>
      <c r="I5" s="181"/>
    </row>
    <row r="6" spans="2:9" x14ac:dyDescent="0.2">
      <c r="B6" s="242"/>
      <c r="C6" s="9" t="s">
        <v>11</v>
      </c>
      <c r="D6" s="10" t="s">
        <v>12</v>
      </c>
      <c r="E6" s="6" t="s">
        <v>13</v>
      </c>
      <c r="F6" s="182">
        <v>0.31904736653913102</v>
      </c>
      <c r="G6" s="182">
        <v>0.29150560800000003</v>
      </c>
      <c r="H6" s="183">
        <v>0.30656799949095509</v>
      </c>
      <c r="I6" s="184">
        <v>0.31272357270000001</v>
      </c>
    </row>
    <row r="7" spans="2:9" x14ac:dyDescent="0.2">
      <c r="B7" s="242"/>
      <c r="C7" s="9" t="s">
        <v>14</v>
      </c>
      <c r="D7" s="10" t="s">
        <v>15</v>
      </c>
      <c r="E7" s="6" t="s">
        <v>16</v>
      </c>
      <c r="F7" s="185">
        <v>34.793618978391599</v>
      </c>
      <c r="G7" s="185">
        <v>26.80510262</v>
      </c>
      <c r="H7" s="186">
        <v>31.645594624668821</v>
      </c>
      <c r="I7" s="187">
        <v>33.153142330000001</v>
      </c>
    </row>
    <row r="8" spans="2:9" x14ac:dyDescent="0.2">
      <c r="B8" s="242"/>
      <c r="C8" s="9" t="s">
        <v>17</v>
      </c>
      <c r="D8" s="10" t="s">
        <v>18</v>
      </c>
      <c r="E8" s="6" t="s">
        <v>19</v>
      </c>
      <c r="F8" s="188"/>
      <c r="G8" s="188" t="s">
        <v>231</v>
      </c>
      <c r="H8" s="189">
        <v>0</v>
      </c>
      <c r="I8" s="190"/>
    </row>
    <row r="9" spans="2:9" x14ac:dyDescent="0.2">
      <c r="B9" s="242"/>
      <c r="C9" s="9"/>
      <c r="D9" s="10" t="s">
        <v>20</v>
      </c>
      <c r="E9" s="6" t="s">
        <v>19</v>
      </c>
      <c r="F9" s="179">
        <v>27.9143610129492</v>
      </c>
      <c r="G9" s="179">
        <v>31.046352710000001</v>
      </c>
      <c r="H9" s="180">
        <v>28.973734941396</v>
      </c>
      <c r="I9" s="181">
        <v>28.459900000000001</v>
      </c>
    </row>
    <row r="10" spans="2:9" x14ac:dyDescent="0.2">
      <c r="B10" s="242"/>
      <c r="C10" s="9" t="s">
        <v>21</v>
      </c>
      <c r="D10" s="10" t="s">
        <v>22</v>
      </c>
      <c r="E10" s="6" t="s">
        <v>16</v>
      </c>
      <c r="F10" s="179">
        <v>37.703486745539998</v>
      </c>
      <c r="G10" s="179">
        <v>38.328229749999998</v>
      </c>
      <c r="H10" s="180">
        <v>37.586565616539907</v>
      </c>
      <c r="I10" s="181">
        <v>37.678432909999998</v>
      </c>
    </row>
    <row r="11" spans="2:9" x14ac:dyDescent="0.2">
      <c r="B11" s="242"/>
      <c r="C11" s="9" t="s">
        <v>23</v>
      </c>
      <c r="D11" s="10" t="s">
        <v>24</v>
      </c>
      <c r="E11" s="6" t="s">
        <v>25</v>
      </c>
      <c r="F11" s="191">
        <f>0.579852*1000</f>
        <v>579.85200000000009</v>
      </c>
      <c r="G11" s="191">
        <v>590.44658400000003</v>
      </c>
      <c r="H11" s="192">
        <v>579.465688638031</v>
      </c>
      <c r="I11" s="193">
        <v>579.46568400000001</v>
      </c>
    </row>
    <row r="12" spans="2:9" x14ac:dyDescent="0.2">
      <c r="B12" s="242"/>
      <c r="C12" s="9"/>
      <c r="D12" s="10" t="s">
        <v>26</v>
      </c>
      <c r="E12" s="6" t="s">
        <v>25</v>
      </c>
      <c r="F12" s="191">
        <f>5.41390452913852*1000</f>
        <v>5413.90452913852</v>
      </c>
      <c r="G12" s="191">
        <v>4933.4882399999997</v>
      </c>
      <c r="H12" s="192">
        <v>5195.8141065482023</v>
      </c>
      <c r="I12" s="193">
        <v>5302.4618920000003</v>
      </c>
    </row>
    <row r="13" spans="2:9" x14ac:dyDescent="0.2">
      <c r="B13" s="242"/>
      <c r="C13" s="9" t="s">
        <v>27</v>
      </c>
      <c r="D13" s="10" t="s">
        <v>28</v>
      </c>
      <c r="E13" s="6" t="s">
        <v>13</v>
      </c>
      <c r="F13" s="182">
        <v>0</v>
      </c>
      <c r="G13" s="182" t="s">
        <v>231</v>
      </c>
      <c r="H13" s="183">
        <v>0</v>
      </c>
      <c r="I13" s="184"/>
    </row>
    <row r="14" spans="2:9" x14ac:dyDescent="0.2">
      <c r="B14" s="242"/>
      <c r="C14" s="9" t="s">
        <v>29</v>
      </c>
      <c r="D14" s="10" t="s">
        <v>30</v>
      </c>
      <c r="E14" s="6" t="s">
        <v>13</v>
      </c>
      <c r="F14" s="182">
        <v>0</v>
      </c>
      <c r="G14" s="182" t="s">
        <v>231</v>
      </c>
      <c r="H14" s="183">
        <v>0</v>
      </c>
      <c r="I14" s="184">
        <v>0</v>
      </c>
    </row>
    <row r="15" spans="2:9" x14ac:dyDescent="0.2">
      <c r="B15" s="242"/>
      <c r="C15" s="9" t="s">
        <v>31</v>
      </c>
      <c r="D15" s="10" t="s">
        <v>32</v>
      </c>
      <c r="E15" s="6" t="s">
        <v>13</v>
      </c>
      <c r="F15" s="182">
        <v>0</v>
      </c>
      <c r="G15" s="182" t="s">
        <v>231</v>
      </c>
      <c r="H15" s="183">
        <v>0</v>
      </c>
      <c r="I15" s="184">
        <v>0</v>
      </c>
    </row>
    <row r="16" spans="2:9" x14ac:dyDescent="0.2">
      <c r="B16" s="242"/>
      <c r="C16" s="9" t="s">
        <v>33</v>
      </c>
      <c r="D16" s="10" t="s">
        <v>34</v>
      </c>
      <c r="E16" s="6" t="s">
        <v>35</v>
      </c>
      <c r="F16" s="191">
        <v>0</v>
      </c>
      <c r="G16" s="191">
        <v>0</v>
      </c>
      <c r="H16" s="192">
        <v>0</v>
      </c>
      <c r="I16" s="193"/>
    </row>
    <row r="17" spans="2:9" x14ac:dyDescent="0.2">
      <c r="B17" s="242"/>
      <c r="C17" s="9" t="s">
        <v>36</v>
      </c>
      <c r="D17" s="10" t="s">
        <v>37</v>
      </c>
      <c r="E17" s="6" t="s">
        <v>13</v>
      </c>
      <c r="F17" s="182">
        <v>0</v>
      </c>
      <c r="G17" s="182" t="s">
        <v>231</v>
      </c>
      <c r="H17" s="183">
        <v>0</v>
      </c>
      <c r="I17" s="184"/>
    </row>
    <row r="18" spans="2:9" x14ac:dyDescent="0.2">
      <c r="B18" s="242"/>
      <c r="C18" s="9" t="s">
        <v>38</v>
      </c>
      <c r="D18" s="10" t="s">
        <v>39</v>
      </c>
      <c r="E18" s="6" t="s">
        <v>13</v>
      </c>
      <c r="F18" s="182">
        <v>0</v>
      </c>
      <c r="G18" s="182">
        <v>0</v>
      </c>
      <c r="H18" s="183">
        <v>0</v>
      </c>
      <c r="I18" s="184"/>
    </row>
    <row r="19" spans="2:9" x14ac:dyDescent="0.2">
      <c r="B19" s="242"/>
      <c r="C19" s="9" t="s">
        <v>40</v>
      </c>
      <c r="D19" s="10" t="s">
        <v>41</v>
      </c>
      <c r="E19" s="6" t="s">
        <v>13</v>
      </c>
      <c r="F19" s="182">
        <v>1</v>
      </c>
      <c r="G19" s="182">
        <v>1</v>
      </c>
      <c r="H19" s="183">
        <v>1</v>
      </c>
      <c r="I19" s="184">
        <v>1</v>
      </c>
    </row>
    <row r="20" spans="2:9" x14ac:dyDescent="0.2">
      <c r="B20" s="242"/>
      <c r="C20" s="9" t="s">
        <v>42</v>
      </c>
      <c r="D20" s="10" t="s">
        <v>43</v>
      </c>
      <c r="E20" s="6" t="s">
        <v>13</v>
      </c>
      <c r="F20" s="182">
        <v>0</v>
      </c>
      <c r="G20" s="182">
        <v>0</v>
      </c>
      <c r="H20" s="183">
        <v>0</v>
      </c>
      <c r="I20" s="184"/>
    </row>
    <row r="21" spans="2:9" x14ac:dyDescent="0.2">
      <c r="B21" s="242"/>
      <c r="C21" s="9"/>
      <c r="D21" s="10" t="s">
        <v>44</v>
      </c>
      <c r="E21" s="6" t="s">
        <v>8</v>
      </c>
      <c r="F21" s="179">
        <v>0</v>
      </c>
      <c r="G21" s="179">
        <v>0</v>
      </c>
      <c r="H21" s="180">
        <v>0</v>
      </c>
      <c r="I21" s="181"/>
    </row>
    <row r="22" spans="2:9" x14ac:dyDescent="0.2">
      <c r="B22" s="242"/>
      <c r="C22" s="9"/>
      <c r="D22" s="10" t="s">
        <v>45</v>
      </c>
      <c r="E22" s="6" t="s">
        <v>8</v>
      </c>
      <c r="F22" s="179">
        <f>F4</f>
        <v>110.835140851495</v>
      </c>
      <c r="G22" s="179">
        <v>101.33699660000001</v>
      </c>
      <c r="H22" s="180">
        <v>106.5002370052142</v>
      </c>
      <c r="I22" s="181">
        <v>108.6382928</v>
      </c>
    </row>
    <row r="23" spans="2:9" x14ac:dyDescent="0.2">
      <c r="B23" s="242"/>
      <c r="C23" s="9"/>
      <c r="D23" s="10" t="s">
        <v>46</v>
      </c>
      <c r="E23" s="6" t="s">
        <v>8</v>
      </c>
      <c r="F23" s="179">
        <v>0</v>
      </c>
      <c r="G23" s="179">
        <v>0</v>
      </c>
      <c r="H23" s="180">
        <v>0</v>
      </c>
      <c r="I23" s="181"/>
    </row>
    <row r="24" spans="2:9" x14ac:dyDescent="0.2">
      <c r="B24" s="242"/>
      <c r="C24" s="9" t="s">
        <v>47</v>
      </c>
      <c r="D24" s="10" t="s">
        <v>48</v>
      </c>
      <c r="E24" s="6" t="s">
        <v>8</v>
      </c>
      <c r="F24" s="179">
        <v>9.8878583449743491</v>
      </c>
      <c r="G24" s="179">
        <v>9.9224802079999996</v>
      </c>
      <c r="H24" s="180">
        <v>6.6703702179079016</v>
      </c>
      <c r="I24" s="181">
        <v>7.9381345960000003</v>
      </c>
    </row>
    <row r="25" spans="2:9" x14ac:dyDescent="0.2">
      <c r="B25" s="242"/>
      <c r="C25" s="9" t="s">
        <v>49</v>
      </c>
      <c r="D25" s="10" t="s">
        <v>50</v>
      </c>
      <c r="E25" s="6" t="s">
        <v>8</v>
      </c>
      <c r="F25" s="179">
        <v>0</v>
      </c>
      <c r="G25" s="179" t="s">
        <v>231</v>
      </c>
      <c r="H25" s="180">
        <v>0</v>
      </c>
      <c r="I25" s="181"/>
    </row>
    <row r="26" spans="2:9" x14ac:dyDescent="0.2">
      <c r="B26" s="242"/>
      <c r="C26" s="9" t="s">
        <v>51</v>
      </c>
      <c r="D26" s="10" t="s">
        <v>52</v>
      </c>
      <c r="E26" s="6" t="s">
        <v>8</v>
      </c>
      <c r="F26" s="179">
        <v>0</v>
      </c>
      <c r="G26" s="179">
        <v>0</v>
      </c>
      <c r="H26" s="180">
        <v>0</v>
      </c>
      <c r="I26" s="181"/>
    </row>
    <row r="27" spans="2:9" x14ac:dyDescent="0.2">
      <c r="B27" s="242"/>
      <c r="C27" s="9" t="s">
        <v>53</v>
      </c>
      <c r="D27" s="10" t="s">
        <v>54</v>
      </c>
      <c r="E27" s="6" t="s">
        <v>13</v>
      </c>
      <c r="F27" s="182">
        <f>H27/H4*F4</f>
        <v>0.23843405463562864</v>
      </c>
      <c r="G27" s="182">
        <v>0.21380043600000001</v>
      </c>
      <c r="H27" s="183">
        <v>0.22910859438372899</v>
      </c>
      <c r="I27" s="184">
        <v>0.19291153629999999</v>
      </c>
    </row>
    <row r="28" spans="2:9" x14ac:dyDescent="0.2">
      <c r="B28" s="242"/>
      <c r="C28" s="9" t="s">
        <v>55</v>
      </c>
      <c r="D28" s="10" t="s">
        <v>56</v>
      </c>
      <c r="E28" s="6" t="s">
        <v>13</v>
      </c>
      <c r="F28" s="182">
        <v>0</v>
      </c>
      <c r="G28" s="182">
        <v>0</v>
      </c>
      <c r="H28" s="183">
        <v>0</v>
      </c>
      <c r="I28" s="184"/>
    </row>
    <row r="29" spans="2:9" x14ac:dyDescent="0.2">
      <c r="B29" s="242"/>
      <c r="C29" s="9" t="s">
        <v>57</v>
      </c>
      <c r="D29" s="10" t="s">
        <v>58</v>
      </c>
      <c r="E29" s="6" t="s">
        <v>13</v>
      </c>
      <c r="F29" s="182">
        <f>H29/H4*F4</f>
        <v>0.25336776240661341</v>
      </c>
      <c r="G29" s="182">
        <v>0.21380043600000001</v>
      </c>
      <c r="H29" s="183">
        <v>0.2434582257800339</v>
      </c>
      <c r="I29" s="184">
        <v>0.1797754523</v>
      </c>
    </row>
    <row r="30" spans="2:9" ht="16" thickBot="1" x14ac:dyDescent="0.25">
      <c r="B30" s="243"/>
      <c r="C30" s="9" t="s">
        <v>59</v>
      </c>
      <c r="D30" s="15" t="s">
        <v>60</v>
      </c>
      <c r="E30" s="6" t="s">
        <v>13</v>
      </c>
      <c r="F30" s="182">
        <v>0</v>
      </c>
      <c r="G30" s="182">
        <v>0</v>
      </c>
      <c r="H30" s="183">
        <v>0</v>
      </c>
      <c r="I30" s="184"/>
    </row>
    <row r="31" spans="2:9" x14ac:dyDescent="0.2">
      <c r="B31" s="236" t="s">
        <v>61</v>
      </c>
      <c r="C31" s="4" t="s">
        <v>62</v>
      </c>
      <c r="D31" s="10" t="s">
        <v>63</v>
      </c>
      <c r="E31" s="16" t="s">
        <v>16</v>
      </c>
      <c r="F31" s="194">
        <v>0</v>
      </c>
      <c r="G31" s="194">
        <v>0</v>
      </c>
      <c r="H31" s="195">
        <v>0</v>
      </c>
      <c r="I31" s="196"/>
    </row>
    <row r="32" spans="2:9" x14ac:dyDescent="0.2">
      <c r="B32" s="244"/>
      <c r="C32" s="9" t="s">
        <v>64</v>
      </c>
      <c r="D32" s="10" t="s">
        <v>65</v>
      </c>
      <c r="E32" s="6" t="s">
        <v>16</v>
      </c>
      <c r="F32" s="185">
        <f>F10</f>
        <v>37.703486745539998</v>
      </c>
      <c r="G32" s="185">
        <v>38.328229749999998</v>
      </c>
      <c r="H32" s="186">
        <v>37.586565616539907</v>
      </c>
      <c r="I32" s="187">
        <v>37.678432909999998</v>
      </c>
    </row>
    <row r="33" spans="2:9" x14ac:dyDescent="0.2">
      <c r="B33" s="244"/>
      <c r="C33" s="9" t="s">
        <v>66</v>
      </c>
      <c r="D33" s="10" t="s">
        <v>67</v>
      </c>
      <c r="E33" s="6" t="s">
        <v>16</v>
      </c>
      <c r="F33" s="197">
        <v>0</v>
      </c>
      <c r="G33" s="197">
        <v>0</v>
      </c>
      <c r="H33" s="198">
        <v>0</v>
      </c>
      <c r="I33" s="199"/>
    </row>
    <row r="34" spans="2:9" x14ac:dyDescent="0.2">
      <c r="B34" s="244"/>
      <c r="C34" s="9" t="s">
        <v>68</v>
      </c>
      <c r="D34" s="10" t="s">
        <v>69</v>
      </c>
      <c r="E34" s="6" t="s">
        <v>16</v>
      </c>
      <c r="F34" s="197"/>
      <c r="G34" s="197" t="s">
        <v>231</v>
      </c>
      <c r="H34" s="198">
        <v>0</v>
      </c>
      <c r="I34" s="199"/>
    </row>
    <row r="35" spans="2:9" x14ac:dyDescent="0.2">
      <c r="B35" s="244"/>
      <c r="C35" s="9" t="s">
        <v>70</v>
      </c>
      <c r="D35" s="10" t="s">
        <v>71</v>
      </c>
      <c r="E35" s="6" t="s">
        <v>16</v>
      </c>
      <c r="F35" s="185"/>
      <c r="G35" s="185" t="s">
        <v>231</v>
      </c>
      <c r="H35" s="186">
        <v>0</v>
      </c>
      <c r="I35" s="187"/>
    </row>
    <row r="36" spans="2:9" x14ac:dyDescent="0.2">
      <c r="B36" s="244"/>
      <c r="C36" s="9" t="s">
        <v>72</v>
      </c>
      <c r="D36" s="10" t="s">
        <v>73</v>
      </c>
      <c r="E36" s="6" t="s">
        <v>16</v>
      </c>
      <c r="F36" s="197"/>
      <c r="G36" s="197" t="s">
        <v>231</v>
      </c>
      <c r="H36" s="198">
        <v>0</v>
      </c>
      <c r="I36" s="199"/>
    </row>
    <row r="37" spans="2:9" x14ac:dyDescent="0.2">
      <c r="B37" s="244"/>
      <c r="C37" s="9" t="s">
        <v>74</v>
      </c>
      <c r="D37" s="10" t="s">
        <v>75</v>
      </c>
      <c r="E37" s="6" t="s">
        <v>16</v>
      </c>
      <c r="F37" s="185"/>
      <c r="G37" s="185" t="s">
        <v>231</v>
      </c>
      <c r="H37" s="186">
        <v>0</v>
      </c>
      <c r="I37" s="187"/>
    </row>
    <row r="38" spans="2:9" x14ac:dyDescent="0.2">
      <c r="B38" s="244"/>
      <c r="C38" s="9" t="s">
        <v>76</v>
      </c>
      <c r="D38" s="10" t="s">
        <v>77</v>
      </c>
      <c r="E38" s="6" t="s">
        <v>16</v>
      </c>
      <c r="F38" s="197"/>
      <c r="G38" s="197" t="s">
        <v>231</v>
      </c>
      <c r="H38" s="198">
        <v>0</v>
      </c>
      <c r="I38" s="199"/>
    </row>
    <row r="39" spans="2:9" x14ac:dyDescent="0.2">
      <c r="B39" s="244"/>
      <c r="C39" s="9" t="s">
        <v>78</v>
      </c>
      <c r="D39" s="10" t="s">
        <v>79</v>
      </c>
      <c r="E39" s="6" t="s">
        <v>16</v>
      </c>
      <c r="F39" s="197"/>
      <c r="G39" s="197" t="s">
        <v>231</v>
      </c>
      <c r="H39" s="198">
        <v>0</v>
      </c>
      <c r="I39" s="199"/>
    </row>
    <row r="40" spans="2:9" x14ac:dyDescent="0.2">
      <c r="B40" s="244"/>
      <c r="C40" s="9" t="s">
        <v>80</v>
      </c>
      <c r="D40" s="10" t="s">
        <v>81</v>
      </c>
      <c r="E40" s="6" t="s">
        <v>16</v>
      </c>
      <c r="F40" s="185"/>
      <c r="G40" s="185" t="s">
        <v>231</v>
      </c>
      <c r="H40" s="186">
        <v>0</v>
      </c>
      <c r="I40" s="187"/>
    </row>
    <row r="41" spans="2:9" x14ac:dyDescent="0.2">
      <c r="B41" s="244"/>
      <c r="C41" s="9" t="s">
        <v>82</v>
      </c>
      <c r="D41" s="10" t="s">
        <v>83</v>
      </c>
      <c r="E41" s="6" t="s">
        <v>16</v>
      </c>
      <c r="F41" s="185"/>
      <c r="G41" s="185" t="s">
        <v>231</v>
      </c>
      <c r="H41" s="186">
        <v>0</v>
      </c>
      <c r="I41" s="187"/>
    </row>
    <row r="42" spans="2:9" x14ac:dyDescent="0.2">
      <c r="B42" s="244"/>
      <c r="C42" s="9" t="s">
        <v>84</v>
      </c>
      <c r="D42" s="10" t="s">
        <v>85</v>
      </c>
      <c r="E42" s="6" t="s">
        <v>16</v>
      </c>
      <c r="F42" s="185"/>
      <c r="G42" s="185" t="s">
        <v>231</v>
      </c>
      <c r="H42" s="186">
        <v>0</v>
      </c>
      <c r="I42" s="187"/>
    </row>
    <row r="43" spans="2:9" x14ac:dyDescent="0.2">
      <c r="B43" s="244"/>
      <c r="C43" s="9" t="s">
        <v>86</v>
      </c>
      <c r="D43" s="10" t="s">
        <v>87</v>
      </c>
      <c r="E43" s="6" t="s">
        <v>25</v>
      </c>
      <c r="F43" s="200"/>
      <c r="G43" s="200" t="s">
        <v>231</v>
      </c>
      <c r="H43" s="201">
        <v>0</v>
      </c>
      <c r="I43" s="202"/>
    </row>
    <row r="44" spans="2:9" x14ac:dyDescent="0.2">
      <c r="B44" s="244"/>
      <c r="C44" s="9" t="s">
        <v>88</v>
      </c>
      <c r="D44" s="10" t="s">
        <v>89</v>
      </c>
      <c r="E44" s="6" t="s">
        <v>25</v>
      </c>
      <c r="F44" s="200"/>
      <c r="G44" s="200" t="s">
        <v>231</v>
      </c>
      <c r="H44" s="201">
        <v>0</v>
      </c>
      <c r="I44" s="202"/>
    </row>
    <row r="45" spans="2:9" x14ac:dyDescent="0.2">
      <c r="B45" s="244"/>
      <c r="C45" s="9" t="s">
        <v>90</v>
      </c>
      <c r="D45" s="10" t="s">
        <v>91</v>
      </c>
      <c r="E45" s="6" t="s">
        <v>16</v>
      </c>
      <c r="F45" s="185"/>
      <c r="G45" s="185">
        <v>0</v>
      </c>
      <c r="H45" s="186">
        <v>0</v>
      </c>
      <c r="I45" s="187"/>
    </row>
    <row r="46" spans="2:9" x14ac:dyDescent="0.2">
      <c r="B46" s="244"/>
      <c r="C46" s="9" t="s">
        <v>92</v>
      </c>
      <c r="D46" s="10" t="s">
        <v>93</v>
      </c>
      <c r="E46" s="6" t="s">
        <v>16</v>
      </c>
      <c r="F46" s="185">
        <v>16.235855999999998</v>
      </c>
      <c r="G46" s="185">
        <v>16.545891000000001</v>
      </c>
      <c r="H46" s="186">
        <v>16.22503928186487</v>
      </c>
      <c r="I46" s="187">
        <v>16.225039150000001</v>
      </c>
    </row>
    <row r="47" spans="2:9" x14ac:dyDescent="0.2">
      <c r="B47" s="244"/>
      <c r="C47" s="9" t="s">
        <v>94</v>
      </c>
      <c r="D47" s="10" t="s">
        <v>95</v>
      </c>
      <c r="E47" s="6" t="s">
        <v>16</v>
      </c>
      <c r="F47" s="185">
        <v>12.176892</v>
      </c>
      <c r="G47" s="185">
        <v>12.40941825</v>
      </c>
      <c r="H47" s="186">
        <v>12.16877946139865</v>
      </c>
      <c r="I47" s="187">
        <v>12.16877936</v>
      </c>
    </row>
    <row r="48" spans="2:9" x14ac:dyDescent="0.2">
      <c r="B48" s="244"/>
      <c r="C48" s="9" t="s">
        <v>96</v>
      </c>
      <c r="D48" s="10" t="s">
        <v>97</v>
      </c>
      <c r="E48" s="6" t="s">
        <v>16</v>
      </c>
      <c r="F48" s="200">
        <v>0</v>
      </c>
      <c r="G48" s="200">
        <v>0</v>
      </c>
      <c r="H48" s="201">
        <v>0</v>
      </c>
      <c r="I48" s="202">
        <v>0</v>
      </c>
    </row>
    <row r="49" spans="2:11" x14ac:dyDescent="0.2">
      <c r="B49" s="244"/>
      <c r="C49" s="9" t="s">
        <v>98</v>
      </c>
      <c r="D49" s="10" t="s">
        <v>99</v>
      </c>
      <c r="E49" s="6" t="s">
        <v>16</v>
      </c>
      <c r="F49" s="185">
        <v>2.2302</v>
      </c>
      <c r="G49" s="185">
        <v>2.2709484</v>
      </c>
      <c r="H49" s="186">
        <v>2.2287141870693499</v>
      </c>
      <c r="I49" s="187">
        <v>2.2287141689999999</v>
      </c>
    </row>
    <row r="50" spans="2:11" x14ac:dyDescent="0.2">
      <c r="B50" s="244"/>
      <c r="C50" s="9" t="s">
        <v>100</v>
      </c>
      <c r="D50" s="10" t="s">
        <v>101</v>
      </c>
      <c r="E50" s="6" t="s">
        <v>16</v>
      </c>
      <c r="F50" s="185">
        <v>2.9850266615399899</v>
      </c>
      <c r="G50" s="185">
        <v>3.0425586120000001</v>
      </c>
      <c r="H50" s="186">
        <v>2.9831034052637482</v>
      </c>
      <c r="I50" s="187">
        <v>2.9831033809999998</v>
      </c>
    </row>
    <row r="51" spans="2:11" x14ac:dyDescent="0.2">
      <c r="B51" s="244"/>
      <c r="C51" s="9" t="s">
        <v>102</v>
      </c>
      <c r="D51" s="10" t="s">
        <v>103</v>
      </c>
      <c r="E51" s="6" t="s">
        <v>25</v>
      </c>
      <c r="F51" s="200">
        <v>579.85199999999998</v>
      </c>
      <c r="G51" s="200">
        <v>590.44658400000003</v>
      </c>
      <c r="H51" s="201">
        <v>579.46568863803111</v>
      </c>
      <c r="I51" s="202">
        <v>579.46568400000001</v>
      </c>
    </row>
    <row r="52" spans="2:11" x14ac:dyDescent="0.2">
      <c r="B52" s="244"/>
      <c r="C52" s="9" t="s">
        <v>104</v>
      </c>
      <c r="D52" s="10" t="s">
        <v>105</v>
      </c>
      <c r="E52" s="6" t="s">
        <v>16</v>
      </c>
      <c r="F52" s="185">
        <v>30.642948000000001</v>
      </c>
      <c r="G52" s="185">
        <v>31.22625764</v>
      </c>
      <c r="H52" s="186">
        <v>30.622532930332881</v>
      </c>
      <c r="I52" s="187">
        <v>30.62253269</v>
      </c>
    </row>
    <row r="53" spans="2:11" x14ac:dyDescent="0.2">
      <c r="B53" s="244"/>
      <c r="C53" s="9" t="s">
        <v>106</v>
      </c>
      <c r="D53" s="10" t="s">
        <v>107</v>
      </c>
      <c r="E53" s="6" t="s">
        <v>16</v>
      </c>
      <c r="F53" s="185"/>
      <c r="G53" s="185" t="s">
        <v>231</v>
      </c>
      <c r="H53" s="186">
        <v>0</v>
      </c>
      <c r="I53" s="187"/>
    </row>
    <row r="54" spans="2:11" x14ac:dyDescent="0.2">
      <c r="B54" s="244"/>
      <c r="C54" s="9" t="s">
        <v>108</v>
      </c>
      <c r="D54" s="10" t="s">
        <v>109</v>
      </c>
      <c r="E54" s="6" t="s">
        <v>16</v>
      </c>
      <c r="F54" s="185"/>
      <c r="G54" s="185" t="s">
        <v>231</v>
      </c>
      <c r="H54" s="186">
        <v>0</v>
      </c>
      <c r="I54" s="187"/>
    </row>
    <row r="55" spans="2:11" x14ac:dyDescent="0.2">
      <c r="B55" s="244"/>
      <c r="C55" s="9" t="s">
        <v>110</v>
      </c>
      <c r="D55" s="10" t="s">
        <v>111</v>
      </c>
      <c r="E55" s="6" t="s">
        <v>16</v>
      </c>
      <c r="F55" s="185"/>
      <c r="G55" s="185" t="s">
        <v>231</v>
      </c>
      <c r="H55" s="186">
        <v>0</v>
      </c>
      <c r="I55" s="187"/>
      <c r="K55" s="18"/>
    </row>
    <row r="56" spans="2:11" x14ac:dyDescent="0.2">
      <c r="B56" s="244"/>
      <c r="C56" s="9" t="s">
        <v>112</v>
      </c>
      <c r="D56" s="10" t="s">
        <v>113</v>
      </c>
      <c r="E56" s="6" t="s">
        <v>16</v>
      </c>
      <c r="F56" s="197"/>
      <c r="G56" s="197">
        <v>0</v>
      </c>
      <c r="H56" s="198">
        <v>0</v>
      </c>
      <c r="I56" s="199"/>
    </row>
    <row r="57" spans="2:11" x14ac:dyDescent="0.2">
      <c r="B57" s="244"/>
      <c r="C57" s="9" t="s">
        <v>114</v>
      </c>
      <c r="D57" s="10" t="s">
        <v>115</v>
      </c>
      <c r="E57" s="6" t="s">
        <v>25</v>
      </c>
      <c r="F57" s="197"/>
      <c r="G57" s="197" t="s">
        <v>231</v>
      </c>
      <c r="H57" s="198">
        <v>0</v>
      </c>
      <c r="I57" s="199"/>
    </row>
    <row r="58" spans="2:11" x14ac:dyDescent="0.2">
      <c r="B58" s="244"/>
      <c r="C58" s="9" t="s">
        <v>116</v>
      </c>
      <c r="D58" s="10" t="s">
        <v>117</v>
      </c>
      <c r="E58" s="20" t="s">
        <v>25</v>
      </c>
      <c r="F58" s="185"/>
      <c r="G58" s="185" t="s">
        <v>231</v>
      </c>
      <c r="H58" s="186">
        <v>0</v>
      </c>
      <c r="I58" s="187"/>
    </row>
    <row r="59" spans="2:11" x14ac:dyDescent="0.2">
      <c r="B59" s="244"/>
      <c r="C59" s="9" t="s">
        <v>118</v>
      </c>
      <c r="D59" s="10" t="s">
        <v>119</v>
      </c>
      <c r="E59" s="6" t="s">
        <v>16</v>
      </c>
      <c r="F59" s="185"/>
      <c r="G59" s="185">
        <v>0</v>
      </c>
      <c r="H59" s="186">
        <v>0</v>
      </c>
      <c r="I59" s="187"/>
    </row>
    <row r="60" spans="2:11" ht="16" thickBot="1" x14ac:dyDescent="0.25">
      <c r="B60" s="244"/>
      <c r="C60" s="9" t="s">
        <v>120</v>
      </c>
      <c r="D60" s="10" t="s">
        <v>121</v>
      </c>
      <c r="E60" s="6" t="s">
        <v>122</v>
      </c>
      <c r="F60" s="185"/>
      <c r="G60" s="185">
        <v>3.1461441400000001</v>
      </c>
      <c r="H60" s="186">
        <v>3.0857096381849312</v>
      </c>
      <c r="I60" s="187">
        <v>3.0918000000000001</v>
      </c>
    </row>
    <row r="61" spans="2:11" x14ac:dyDescent="0.2">
      <c r="B61" s="236" t="s">
        <v>123</v>
      </c>
      <c r="C61" s="4" t="s">
        <v>124</v>
      </c>
      <c r="D61" s="5" t="s">
        <v>125</v>
      </c>
      <c r="E61" s="16" t="s">
        <v>126</v>
      </c>
      <c r="F61" s="203"/>
      <c r="G61" s="203" t="s">
        <v>231</v>
      </c>
      <c r="H61" s="204">
        <v>0</v>
      </c>
      <c r="I61" s="205"/>
    </row>
    <row r="62" spans="2:11" x14ac:dyDescent="0.2">
      <c r="B62" s="244"/>
      <c r="C62" s="9" t="s">
        <v>127</v>
      </c>
      <c r="D62" s="10" t="s">
        <v>128</v>
      </c>
      <c r="E62" s="6" t="s">
        <v>129</v>
      </c>
      <c r="F62" s="206"/>
      <c r="G62" s="206"/>
      <c r="H62" s="207">
        <v>0</v>
      </c>
      <c r="I62" s="208"/>
    </row>
    <row r="63" spans="2:11" x14ac:dyDescent="0.2">
      <c r="B63" s="244"/>
      <c r="C63" s="9" t="s">
        <v>130</v>
      </c>
      <c r="D63" s="10" t="s">
        <v>131</v>
      </c>
      <c r="E63" s="6" t="s">
        <v>129</v>
      </c>
      <c r="F63" s="200"/>
      <c r="G63" s="200"/>
      <c r="H63" s="201">
        <v>0</v>
      </c>
      <c r="I63" s="202"/>
    </row>
    <row r="64" spans="2:11" x14ac:dyDescent="0.2">
      <c r="B64" s="244"/>
      <c r="C64" s="9" t="s">
        <v>132</v>
      </c>
      <c r="D64" s="10" t="s">
        <v>133</v>
      </c>
      <c r="E64" s="6" t="s">
        <v>13</v>
      </c>
      <c r="F64" s="209"/>
      <c r="G64" s="209"/>
      <c r="H64" s="210">
        <v>0</v>
      </c>
      <c r="I64" s="211"/>
    </row>
    <row r="65" spans="2:9" x14ac:dyDescent="0.2">
      <c r="B65" s="244"/>
      <c r="C65" s="9" t="s">
        <v>134</v>
      </c>
      <c r="D65" s="10" t="s">
        <v>135</v>
      </c>
      <c r="E65" s="6" t="s">
        <v>136</v>
      </c>
      <c r="F65" s="212"/>
      <c r="G65" s="212"/>
      <c r="H65" s="213"/>
      <c r="I65" s="214"/>
    </row>
    <row r="66" spans="2:9" x14ac:dyDescent="0.2">
      <c r="B66" s="244"/>
      <c r="C66" s="9" t="s">
        <v>137</v>
      </c>
      <c r="D66" s="10" t="s">
        <v>138</v>
      </c>
      <c r="E66" s="6" t="s">
        <v>136</v>
      </c>
      <c r="F66" s="200"/>
      <c r="G66" s="200"/>
      <c r="H66" s="201">
        <v>0</v>
      </c>
      <c r="I66" s="202"/>
    </row>
    <row r="67" spans="2:9" x14ac:dyDescent="0.2">
      <c r="B67" s="244"/>
      <c r="C67" s="9" t="s">
        <v>139</v>
      </c>
      <c r="D67" s="10" t="s">
        <v>140</v>
      </c>
      <c r="E67" s="6" t="s">
        <v>141</v>
      </c>
      <c r="F67" s="185"/>
      <c r="G67" s="185"/>
      <c r="H67" s="186">
        <v>0</v>
      </c>
      <c r="I67" s="187"/>
    </row>
    <row r="68" spans="2:9" x14ac:dyDescent="0.2">
      <c r="B68" s="244"/>
      <c r="C68" s="9" t="s">
        <v>142</v>
      </c>
      <c r="D68" s="40" t="s">
        <v>143</v>
      </c>
      <c r="E68" s="6" t="s">
        <v>126</v>
      </c>
      <c r="F68" s="215"/>
      <c r="G68" s="215"/>
      <c r="H68" s="216">
        <v>0</v>
      </c>
      <c r="I68" s="217"/>
    </row>
    <row r="69" spans="2:9" x14ac:dyDescent="0.2">
      <c r="B69" s="244"/>
      <c r="C69" s="9" t="s">
        <v>144</v>
      </c>
      <c r="D69" s="10" t="s">
        <v>145</v>
      </c>
      <c r="E69" s="6" t="s">
        <v>141</v>
      </c>
      <c r="F69" s="212"/>
      <c r="G69" s="212"/>
      <c r="H69" s="213"/>
      <c r="I69" s="214"/>
    </row>
    <row r="70" spans="2:9" x14ac:dyDescent="0.2">
      <c r="B70" s="244"/>
      <c r="C70" s="9" t="s">
        <v>146</v>
      </c>
      <c r="D70" s="10" t="s">
        <v>147</v>
      </c>
      <c r="E70" s="6" t="s">
        <v>141</v>
      </c>
      <c r="F70" s="212"/>
      <c r="G70" s="212"/>
      <c r="H70" s="213"/>
      <c r="I70" s="214"/>
    </row>
    <row r="71" spans="2:9" x14ac:dyDescent="0.2">
      <c r="B71" s="244"/>
      <c r="C71" s="9" t="s">
        <v>148</v>
      </c>
      <c r="D71" s="10" t="s">
        <v>149</v>
      </c>
      <c r="E71" s="6" t="s">
        <v>13</v>
      </c>
      <c r="F71" s="209"/>
      <c r="G71" s="209"/>
      <c r="H71" s="210">
        <v>0</v>
      </c>
      <c r="I71" s="211"/>
    </row>
    <row r="72" spans="2:9" x14ac:dyDescent="0.2">
      <c r="B72" s="244"/>
      <c r="C72" s="9" t="s">
        <v>150</v>
      </c>
      <c r="D72" s="10" t="s">
        <v>151</v>
      </c>
      <c r="E72" s="6" t="s">
        <v>13</v>
      </c>
      <c r="F72" s="212"/>
      <c r="G72" s="212"/>
      <c r="H72" s="213"/>
      <c r="I72" s="214"/>
    </row>
    <row r="73" spans="2:9" x14ac:dyDescent="0.2">
      <c r="B73" s="244"/>
      <c r="C73" s="9" t="s">
        <v>152</v>
      </c>
      <c r="D73" s="10" t="s">
        <v>153</v>
      </c>
      <c r="E73" s="6" t="s">
        <v>129</v>
      </c>
      <c r="F73" s="185"/>
      <c r="G73" s="185"/>
      <c r="H73" s="186">
        <v>0</v>
      </c>
      <c r="I73" s="187"/>
    </row>
    <row r="74" spans="2:9" x14ac:dyDescent="0.2">
      <c r="B74" s="244"/>
      <c r="C74" s="9" t="s">
        <v>154</v>
      </c>
      <c r="D74" s="10" t="s">
        <v>155</v>
      </c>
      <c r="E74" s="6" t="s">
        <v>156</v>
      </c>
      <c r="F74" s="212"/>
      <c r="G74" s="212">
        <v>0</v>
      </c>
      <c r="H74" s="213"/>
      <c r="I74" s="214"/>
    </row>
    <row r="75" spans="2:9" x14ac:dyDescent="0.2">
      <c r="B75" s="244"/>
      <c r="C75" s="9" t="s">
        <v>157</v>
      </c>
      <c r="D75" s="10" t="s">
        <v>158</v>
      </c>
      <c r="E75" s="6" t="s">
        <v>159</v>
      </c>
      <c r="F75" s="212"/>
      <c r="G75" s="212"/>
      <c r="H75" s="213"/>
      <c r="I75" s="214"/>
    </row>
    <row r="76" spans="2:9" x14ac:dyDescent="0.2">
      <c r="B76" s="244"/>
      <c r="C76" s="9" t="s">
        <v>160</v>
      </c>
      <c r="D76" s="23" t="s">
        <v>160</v>
      </c>
      <c r="E76" s="6" t="s">
        <v>159</v>
      </c>
      <c r="F76" s="212"/>
      <c r="G76" s="212"/>
      <c r="H76" s="213"/>
      <c r="I76" s="214"/>
    </row>
    <row r="77" spans="2:9" x14ac:dyDescent="0.2">
      <c r="B77" s="244"/>
      <c r="C77" s="9" t="s">
        <v>161</v>
      </c>
      <c r="D77" s="10" t="s">
        <v>162</v>
      </c>
      <c r="E77" s="6" t="s">
        <v>126</v>
      </c>
      <c r="F77" s="212"/>
      <c r="G77" s="212"/>
      <c r="H77" s="213">
        <v>0</v>
      </c>
      <c r="I77" s="214"/>
    </row>
    <row r="78" spans="2:9" x14ac:dyDescent="0.2">
      <c r="B78" s="244"/>
      <c r="C78" s="9" t="s">
        <v>163</v>
      </c>
      <c r="D78" s="10" t="s">
        <v>164</v>
      </c>
      <c r="E78" s="6" t="s">
        <v>13</v>
      </c>
      <c r="F78" s="218"/>
      <c r="G78" s="218"/>
      <c r="H78" s="219">
        <v>0.95</v>
      </c>
      <c r="I78" s="220"/>
    </row>
    <row r="79" spans="2:9" x14ac:dyDescent="0.2">
      <c r="B79" s="244"/>
      <c r="C79" s="9" t="s">
        <v>165</v>
      </c>
      <c r="D79" s="10" t="s">
        <v>166</v>
      </c>
      <c r="E79" s="6" t="s">
        <v>156</v>
      </c>
      <c r="F79" s="212"/>
      <c r="G79" s="212">
        <v>0</v>
      </c>
      <c r="H79" s="213"/>
      <c r="I79" s="214"/>
    </row>
    <row r="80" spans="2:9" x14ac:dyDescent="0.2">
      <c r="B80" s="244"/>
      <c r="C80" s="9" t="s">
        <v>167</v>
      </c>
      <c r="D80" s="10" t="s">
        <v>168</v>
      </c>
      <c r="E80" s="6" t="s">
        <v>126</v>
      </c>
      <c r="F80" s="212"/>
      <c r="G80" s="212">
        <v>0</v>
      </c>
      <c r="H80" s="213">
        <v>0</v>
      </c>
      <c r="I80" s="214"/>
    </row>
    <row r="81" spans="2:9" x14ac:dyDescent="0.2">
      <c r="B81" s="244"/>
      <c r="C81" s="9" t="s">
        <v>169</v>
      </c>
      <c r="D81" s="10" t="s">
        <v>170</v>
      </c>
      <c r="E81" s="6" t="s">
        <v>126</v>
      </c>
      <c r="F81" s="212"/>
      <c r="G81" s="212">
        <v>0</v>
      </c>
      <c r="H81" s="213"/>
      <c r="I81" s="214"/>
    </row>
    <row r="82" spans="2:9" x14ac:dyDescent="0.2">
      <c r="B82" s="244"/>
      <c r="C82" s="9" t="s">
        <v>171</v>
      </c>
      <c r="D82" s="10" t="s">
        <v>172</v>
      </c>
      <c r="E82" s="6" t="s">
        <v>173</v>
      </c>
      <c r="F82" s="212"/>
      <c r="G82" s="212"/>
      <c r="H82" s="213">
        <v>0</v>
      </c>
      <c r="I82" s="214"/>
    </row>
    <row r="83" spans="2:9" x14ac:dyDescent="0.2">
      <c r="B83" s="244"/>
      <c r="C83" s="9" t="s">
        <v>174</v>
      </c>
      <c r="D83" s="10" t="s">
        <v>175</v>
      </c>
      <c r="E83" s="6" t="s">
        <v>141</v>
      </c>
      <c r="F83" s="212"/>
      <c r="G83" s="212"/>
      <c r="H83" s="213"/>
      <c r="I83" s="214"/>
    </row>
    <row r="84" spans="2:9" x14ac:dyDescent="0.2">
      <c r="B84" s="244"/>
      <c r="C84" s="9" t="s">
        <v>176</v>
      </c>
      <c r="D84" s="10" t="s">
        <v>177</v>
      </c>
      <c r="E84" s="6" t="s">
        <v>141</v>
      </c>
      <c r="F84" s="212"/>
      <c r="G84" s="212"/>
      <c r="H84" s="213"/>
      <c r="I84" s="214"/>
    </row>
    <row r="85" spans="2:9" x14ac:dyDescent="0.2">
      <c r="B85" s="244"/>
      <c r="C85" s="9" t="s">
        <v>178</v>
      </c>
      <c r="D85" s="10" t="s">
        <v>179</v>
      </c>
      <c r="E85" s="6" t="s">
        <v>129</v>
      </c>
      <c r="F85" s="212"/>
      <c r="G85" s="212"/>
      <c r="H85" s="213"/>
      <c r="I85" s="214"/>
    </row>
    <row r="86" spans="2:9" x14ac:dyDescent="0.2">
      <c r="B86" s="244"/>
      <c r="C86" s="9" t="s">
        <v>180</v>
      </c>
      <c r="D86" s="40" t="s">
        <v>181</v>
      </c>
      <c r="E86" s="6" t="s">
        <v>182</v>
      </c>
      <c r="F86" s="197"/>
      <c r="G86" s="197"/>
      <c r="H86" s="198">
        <v>0</v>
      </c>
      <c r="I86" s="199"/>
    </row>
    <row r="87" spans="2:9" x14ac:dyDescent="0.2">
      <c r="B87" s="244"/>
      <c r="C87" s="9" t="s">
        <v>183</v>
      </c>
      <c r="D87" s="10" t="s">
        <v>184</v>
      </c>
      <c r="E87" s="6" t="s">
        <v>126</v>
      </c>
      <c r="F87" s="185"/>
      <c r="G87" s="185"/>
      <c r="H87" s="186">
        <v>0</v>
      </c>
      <c r="I87" s="187"/>
    </row>
    <row r="88" spans="2:9" x14ac:dyDescent="0.2">
      <c r="B88" s="244"/>
      <c r="C88" s="9" t="s">
        <v>36</v>
      </c>
      <c r="D88" s="10" t="s">
        <v>185</v>
      </c>
      <c r="E88" s="6" t="s">
        <v>13</v>
      </c>
      <c r="F88" s="221"/>
      <c r="G88" s="221"/>
      <c r="H88" s="222">
        <v>0</v>
      </c>
      <c r="I88" s="223"/>
    </row>
    <row r="89" spans="2:9" x14ac:dyDescent="0.2">
      <c r="B89" s="244"/>
      <c r="C89" s="9" t="s">
        <v>186</v>
      </c>
      <c r="D89" s="10" t="s">
        <v>187</v>
      </c>
      <c r="E89" s="6" t="s">
        <v>159</v>
      </c>
      <c r="F89" s="212"/>
      <c r="G89" s="212"/>
      <c r="H89" s="213"/>
      <c r="I89" s="214"/>
    </row>
    <row r="90" spans="2:9" x14ac:dyDescent="0.2">
      <c r="B90" s="244"/>
      <c r="C90" s="9" t="s">
        <v>188</v>
      </c>
      <c r="D90" s="10" t="s">
        <v>189</v>
      </c>
      <c r="E90" s="6" t="s">
        <v>159</v>
      </c>
      <c r="F90" s="212"/>
      <c r="G90" s="212"/>
      <c r="H90" s="213">
        <v>550</v>
      </c>
      <c r="I90" s="214"/>
    </row>
    <row r="91" spans="2:9" x14ac:dyDescent="0.2">
      <c r="B91" s="244"/>
      <c r="C91" s="9" t="s">
        <v>190</v>
      </c>
      <c r="D91" s="10" t="s">
        <v>191</v>
      </c>
      <c r="E91" s="6" t="s">
        <v>159</v>
      </c>
      <c r="F91" s="212"/>
      <c r="G91" s="212"/>
      <c r="H91" s="213">
        <v>290</v>
      </c>
      <c r="I91" s="214"/>
    </row>
    <row r="92" spans="2:9" x14ac:dyDescent="0.2">
      <c r="B92" s="244"/>
      <c r="C92" s="9" t="s">
        <v>192</v>
      </c>
      <c r="D92" s="10" t="s">
        <v>193</v>
      </c>
      <c r="E92" s="6" t="s">
        <v>159</v>
      </c>
      <c r="F92" s="212"/>
      <c r="G92" s="212"/>
      <c r="H92" s="213">
        <v>30</v>
      </c>
      <c r="I92" s="214"/>
    </row>
    <row r="93" spans="2:9" x14ac:dyDescent="0.2">
      <c r="B93" s="244"/>
      <c r="C93" s="9" t="s">
        <v>194</v>
      </c>
      <c r="D93" s="10" t="s">
        <v>195</v>
      </c>
      <c r="E93" s="6" t="s">
        <v>126</v>
      </c>
      <c r="F93" s="185"/>
      <c r="G93" s="185"/>
      <c r="H93" s="186">
        <v>0</v>
      </c>
      <c r="I93" s="187"/>
    </row>
    <row r="94" spans="2:9" x14ac:dyDescent="0.2">
      <c r="B94" s="244"/>
      <c r="C94" s="9" t="s">
        <v>196</v>
      </c>
      <c r="D94" s="40" t="s">
        <v>197</v>
      </c>
      <c r="E94" s="6" t="s">
        <v>126</v>
      </c>
      <c r="F94" s="185"/>
      <c r="G94" s="185">
        <v>0</v>
      </c>
      <c r="H94" s="186">
        <v>0</v>
      </c>
      <c r="I94" s="187"/>
    </row>
    <row r="95" spans="2:9" x14ac:dyDescent="0.2">
      <c r="B95" s="244"/>
      <c r="C95" s="9" t="s">
        <v>198</v>
      </c>
      <c r="D95" s="40" t="s">
        <v>199</v>
      </c>
      <c r="E95" s="6" t="s">
        <v>126</v>
      </c>
      <c r="F95" s="197">
        <v>53.1</v>
      </c>
      <c r="G95" s="197">
        <v>54.0702</v>
      </c>
      <c r="H95" s="198">
        <v>53.064623501651198</v>
      </c>
      <c r="I95" s="199">
        <v>53.064623079999997</v>
      </c>
    </row>
    <row r="96" spans="2:9" x14ac:dyDescent="0.2">
      <c r="B96" s="244"/>
      <c r="C96" s="9" t="s">
        <v>200</v>
      </c>
      <c r="D96" s="10" t="s">
        <v>201</v>
      </c>
      <c r="E96" s="6" t="s">
        <v>126</v>
      </c>
      <c r="F96" s="197">
        <v>69.03</v>
      </c>
      <c r="G96" s="197">
        <v>70.348175999999995</v>
      </c>
      <c r="H96" s="198">
        <v>68.9840105521466</v>
      </c>
      <c r="I96" s="199">
        <v>68.984009999999998</v>
      </c>
    </row>
    <row r="97" spans="2:9" x14ac:dyDescent="0.2">
      <c r="B97" s="244"/>
      <c r="C97" s="9" t="s">
        <v>202</v>
      </c>
      <c r="D97" s="10" t="s">
        <v>203</v>
      </c>
      <c r="E97" s="6" t="s">
        <v>136</v>
      </c>
      <c r="F97" s="212">
        <v>1.3</v>
      </c>
      <c r="G97" s="197">
        <v>1.301052632</v>
      </c>
      <c r="H97" s="213">
        <v>1.3</v>
      </c>
      <c r="I97" s="214">
        <v>1.3</v>
      </c>
    </row>
    <row r="98" spans="2:9" x14ac:dyDescent="0.2">
      <c r="B98" s="244"/>
      <c r="C98" s="9" t="s">
        <v>204</v>
      </c>
      <c r="D98" s="10" t="s">
        <v>205</v>
      </c>
      <c r="E98" s="6" t="s">
        <v>129</v>
      </c>
      <c r="F98" s="206">
        <v>383500</v>
      </c>
      <c r="G98" s="206">
        <v>390823.2</v>
      </c>
      <c r="H98" s="207">
        <v>383244.50306748092</v>
      </c>
      <c r="I98" s="208">
        <v>383244.5</v>
      </c>
    </row>
    <row r="99" spans="2:9" x14ac:dyDescent="0.2">
      <c r="B99" s="244"/>
      <c r="C99" s="9" t="s">
        <v>206</v>
      </c>
      <c r="D99" s="10" t="s">
        <v>207</v>
      </c>
      <c r="E99" s="6" t="s">
        <v>129</v>
      </c>
      <c r="F99" s="206">
        <v>1438123.5</v>
      </c>
      <c r="G99" s="206">
        <v>1465587</v>
      </c>
      <c r="H99" s="207">
        <v>1437166.8865030529</v>
      </c>
      <c r="I99" s="208">
        <v>1437166.875</v>
      </c>
    </row>
    <row r="100" spans="2:9" x14ac:dyDescent="0.2">
      <c r="B100" s="244"/>
      <c r="C100" s="9" t="s">
        <v>208</v>
      </c>
      <c r="D100" s="10" t="s">
        <v>209</v>
      </c>
      <c r="E100" s="6" t="s">
        <v>136</v>
      </c>
      <c r="F100" s="212">
        <v>0.4</v>
      </c>
      <c r="G100" s="212">
        <v>0.4</v>
      </c>
      <c r="H100" s="213">
        <v>0.4</v>
      </c>
      <c r="I100" s="214">
        <v>0.4</v>
      </c>
    </row>
    <row r="101" spans="2:9" x14ac:dyDescent="0.2">
      <c r="B101" s="244"/>
      <c r="C101" s="9" t="s">
        <v>210</v>
      </c>
      <c r="D101" s="10" t="s">
        <v>211</v>
      </c>
      <c r="E101" s="6" t="s">
        <v>212</v>
      </c>
      <c r="F101" s="212">
        <v>37</v>
      </c>
      <c r="G101" s="212">
        <v>37</v>
      </c>
      <c r="H101" s="213">
        <v>37</v>
      </c>
      <c r="I101" s="214">
        <v>37</v>
      </c>
    </row>
    <row r="102" spans="2:9" x14ac:dyDescent="0.2">
      <c r="B102" s="244"/>
      <c r="C102" s="9" t="s">
        <v>213</v>
      </c>
      <c r="D102" s="10" t="s">
        <v>214</v>
      </c>
      <c r="E102" s="6" t="s">
        <v>212</v>
      </c>
      <c r="F102" s="212">
        <v>0</v>
      </c>
      <c r="G102" s="212">
        <v>0</v>
      </c>
      <c r="H102" s="213">
        <v>0</v>
      </c>
      <c r="I102" s="214">
        <v>0</v>
      </c>
    </row>
    <row r="103" spans="2:9" x14ac:dyDescent="0.2">
      <c r="B103" s="244"/>
      <c r="C103" s="9" t="s">
        <v>215</v>
      </c>
      <c r="D103" s="10" t="s">
        <v>216</v>
      </c>
      <c r="E103" s="6" t="s">
        <v>13</v>
      </c>
      <c r="F103" s="218">
        <v>95</v>
      </c>
      <c r="G103" s="218">
        <v>0.95</v>
      </c>
      <c r="H103" s="219">
        <v>95</v>
      </c>
      <c r="I103" s="220">
        <v>0.95</v>
      </c>
    </row>
    <row r="104" spans="2:9" x14ac:dyDescent="0.2">
      <c r="B104" s="244"/>
      <c r="C104" s="9" t="s">
        <v>217</v>
      </c>
      <c r="D104" s="10" t="s">
        <v>218</v>
      </c>
      <c r="E104" s="6" t="s">
        <v>126</v>
      </c>
      <c r="F104" s="212">
        <v>50</v>
      </c>
      <c r="G104" s="212">
        <v>50</v>
      </c>
      <c r="H104" s="213">
        <v>50</v>
      </c>
      <c r="I104" s="214">
        <v>50</v>
      </c>
    </row>
    <row r="105" spans="2:9" x14ac:dyDescent="0.2">
      <c r="B105" s="244"/>
      <c r="C105" s="9" t="s">
        <v>219</v>
      </c>
      <c r="D105" s="10" t="s">
        <v>220</v>
      </c>
      <c r="E105" s="6" t="s">
        <v>173</v>
      </c>
      <c r="F105" s="212">
        <v>0</v>
      </c>
      <c r="G105" s="212"/>
      <c r="H105" s="213">
        <v>0</v>
      </c>
      <c r="I105" s="214"/>
    </row>
    <row r="106" spans="2:9" x14ac:dyDescent="0.2">
      <c r="B106" s="244"/>
      <c r="C106" s="9" t="s">
        <v>221</v>
      </c>
      <c r="D106" s="40" t="s">
        <v>222</v>
      </c>
      <c r="E106" s="6" t="s">
        <v>126</v>
      </c>
      <c r="F106" s="212">
        <v>0</v>
      </c>
      <c r="G106" s="212">
        <v>0</v>
      </c>
      <c r="H106" s="213">
        <v>0</v>
      </c>
      <c r="I106" s="214"/>
    </row>
    <row r="107" spans="2:9" x14ac:dyDescent="0.2">
      <c r="B107" s="244"/>
      <c r="C107" s="9" t="s">
        <v>223</v>
      </c>
      <c r="D107" s="40" t="s">
        <v>224</v>
      </c>
      <c r="E107" s="6" t="s">
        <v>182</v>
      </c>
      <c r="F107" s="212">
        <v>0</v>
      </c>
      <c r="G107" s="212"/>
      <c r="H107" s="213">
        <v>0</v>
      </c>
      <c r="I107" s="214"/>
    </row>
    <row r="108" spans="2:9" x14ac:dyDescent="0.2">
      <c r="B108" s="244"/>
      <c r="C108" s="9"/>
      <c r="D108" s="10" t="s">
        <v>225</v>
      </c>
      <c r="E108" s="6"/>
      <c r="F108" s="224">
        <v>0</v>
      </c>
      <c r="G108" s="224">
        <v>0</v>
      </c>
      <c r="H108" s="198">
        <v>0</v>
      </c>
      <c r="I108" s="199"/>
    </row>
    <row r="109" spans="2:9" x14ac:dyDescent="0.2">
      <c r="B109" s="244"/>
      <c r="C109" s="9" t="s">
        <v>226</v>
      </c>
      <c r="D109" s="10" t="s">
        <v>227</v>
      </c>
      <c r="E109" s="6" t="s">
        <v>136</v>
      </c>
      <c r="F109" s="225">
        <v>0</v>
      </c>
      <c r="G109" s="225">
        <v>0</v>
      </c>
      <c r="H109" s="213">
        <v>0</v>
      </c>
      <c r="I109" s="214"/>
    </row>
    <row r="110" spans="2:9" ht="16" thickBot="1" x14ac:dyDescent="0.25">
      <c r="B110" s="237"/>
      <c r="C110" s="24" t="s">
        <v>228</v>
      </c>
      <c r="D110" s="15" t="s">
        <v>229</v>
      </c>
      <c r="E110" s="25" t="s">
        <v>136</v>
      </c>
      <c r="F110" s="226">
        <v>0</v>
      </c>
      <c r="G110" s="226">
        <v>0</v>
      </c>
      <c r="H110" s="227">
        <v>0</v>
      </c>
      <c r="I110" s="228"/>
    </row>
    <row r="111" spans="2:9" ht="16" x14ac:dyDescent="0.2">
      <c r="D111" s="1" t="s">
        <v>230</v>
      </c>
      <c r="G111" s="67"/>
      <c r="I111" s="41">
        <v>0.84</v>
      </c>
    </row>
    <row r="115" spans="2:14" s="1" customFormat="1" x14ac:dyDescent="0.2">
      <c r="B115"/>
      <c r="F115" s="37"/>
      <c r="G115" s="37"/>
      <c r="H115" s="37"/>
      <c r="I115" s="38"/>
      <c r="J115"/>
      <c r="K115"/>
      <c r="L115"/>
      <c r="M115"/>
      <c r="N115"/>
    </row>
    <row r="116" spans="2:14" s="1" customFormat="1" x14ac:dyDescent="0.2">
      <c r="B116"/>
      <c r="F116" s="37"/>
      <c r="G116" s="37"/>
      <c r="H116" s="37"/>
      <c r="I116" s="38"/>
      <c r="J116"/>
      <c r="K116"/>
      <c r="L116"/>
      <c r="M116"/>
      <c r="N116"/>
    </row>
    <row r="117" spans="2:14" s="1" customFormat="1" x14ac:dyDescent="0.2">
      <c r="B117"/>
      <c r="F117" s="37"/>
      <c r="G117" s="37"/>
      <c r="H117" s="37"/>
      <c r="I117" s="38"/>
      <c r="J117"/>
      <c r="K117"/>
      <c r="L117"/>
      <c r="M117"/>
      <c r="N117"/>
    </row>
    <row r="118" spans="2:14" s="1" customFormat="1" x14ac:dyDescent="0.2">
      <c r="B118"/>
      <c r="F118" s="37"/>
      <c r="G118" s="37"/>
      <c r="H118" s="37"/>
      <c r="I118" s="38"/>
      <c r="J118"/>
      <c r="K118"/>
      <c r="L118"/>
      <c r="M118"/>
      <c r="N118"/>
    </row>
    <row r="119" spans="2:14" s="1" customFormat="1" x14ac:dyDescent="0.2">
      <c r="B119"/>
      <c r="F119" s="37"/>
      <c r="G119" s="37"/>
      <c r="H119" s="37"/>
      <c r="I119" s="38"/>
      <c r="J119"/>
      <c r="K119"/>
      <c r="L119"/>
      <c r="M119"/>
      <c r="N119"/>
    </row>
    <row r="121" spans="2:14" s="1" customFormat="1" x14ac:dyDescent="0.2">
      <c r="B121"/>
      <c r="F121" s="37"/>
      <c r="G121" s="37"/>
      <c r="H121" s="37"/>
      <c r="I121" s="39"/>
      <c r="J121"/>
      <c r="K121"/>
      <c r="L121"/>
      <c r="M121"/>
      <c r="N121"/>
    </row>
    <row r="127" spans="2:14" s="1" customFormat="1" x14ac:dyDescent="0.2">
      <c r="B127"/>
      <c r="F127" s="37"/>
      <c r="G127" s="37"/>
      <c r="H127" s="37"/>
      <c r="I127" s="38"/>
      <c r="J127"/>
      <c r="K127"/>
      <c r="L127"/>
      <c r="M127"/>
      <c r="N127"/>
    </row>
    <row r="133" spans="2:14" s="1" customFormat="1" x14ac:dyDescent="0.2">
      <c r="B133"/>
      <c r="F133" s="37"/>
      <c r="G133" s="37"/>
      <c r="H133" s="37"/>
      <c r="I133" s="38"/>
      <c r="J133"/>
      <c r="K133"/>
      <c r="L133"/>
      <c r="M133"/>
      <c r="N133"/>
    </row>
    <row r="134" spans="2:14" s="1" customFormat="1" x14ac:dyDescent="0.2">
      <c r="B134"/>
      <c r="F134" s="37"/>
      <c r="G134" s="37"/>
      <c r="H134" s="37"/>
      <c r="I134" s="38"/>
      <c r="J134"/>
      <c r="K134"/>
      <c r="L134"/>
      <c r="M134"/>
      <c r="N134"/>
    </row>
    <row r="135" spans="2:14" s="1" customFormat="1" x14ac:dyDescent="0.2">
      <c r="B135"/>
      <c r="F135" s="37"/>
      <c r="G135" s="37"/>
      <c r="H135" s="37"/>
      <c r="I135" s="38"/>
      <c r="J135"/>
      <c r="K135"/>
      <c r="L135"/>
      <c r="M135"/>
      <c r="N135"/>
    </row>
    <row r="136" spans="2:14" s="1" customFormat="1" x14ac:dyDescent="0.2">
      <c r="B136"/>
      <c r="F136" s="37"/>
      <c r="G136" s="37"/>
      <c r="H136" s="37"/>
      <c r="I136" s="38"/>
      <c r="J136"/>
      <c r="K136"/>
      <c r="L136"/>
      <c r="M136"/>
      <c r="N136"/>
    </row>
    <row r="137" spans="2:14" s="1" customFormat="1" x14ac:dyDescent="0.2">
      <c r="B137"/>
      <c r="F137" s="37"/>
      <c r="G137" s="37"/>
      <c r="H137" s="37"/>
      <c r="I137" s="38"/>
      <c r="J137"/>
      <c r="K137"/>
      <c r="L137"/>
      <c r="M137"/>
      <c r="N137"/>
    </row>
    <row r="138" spans="2:14" s="1" customFormat="1" x14ac:dyDescent="0.2">
      <c r="B138"/>
      <c r="F138" s="37"/>
      <c r="G138" s="37"/>
      <c r="H138" s="37"/>
      <c r="I138" s="38"/>
      <c r="J138"/>
      <c r="K138"/>
      <c r="L138"/>
      <c r="M138"/>
      <c r="N138"/>
    </row>
  </sheetData>
  <mergeCells count="8">
    <mergeCell ref="E2:E3"/>
    <mergeCell ref="F2:I2"/>
    <mergeCell ref="B4:B30"/>
    <mergeCell ref="B31:B60"/>
    <mergeCell ref="B61:B110"/>
    <mergeCell ref="B2:B3"/>
    <mergeCell ref="C2:C3"/>
    <mergeCell ref="D2:D3"/>
  </mergeCells>
  <pageMargins left="0.7" right="0.7" top="0.75" bottom="0.75" header="0.3" footer="0.3"/>
  <pageSetup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ABD9F-3B99-FA49-A367-F7E02F53759C}">
  <dimension ref="B1:N138"/>
  <sheetViews>
    <sheetView topLeftCell="D1" zoomScale="85" zoomScaleNormal="85" workbookViewId="0">
      <selection activeCell="J1" sqref="J1:M1048576"/>
    </sheetView>
  </sheetViews>
  <sheetFormatPr baseColWidth="10" defaultColWidth="8.6640625" defaultRowHeight="15" x14ac:dyDescent="0.2"/>
  <cols>
    <col min="2" max="2" width="16.6640625" customWidth="1"/>
    <col min="3" max="3" width="20.33203125" style="1" bestFit="1" customWidth="1"/>
    <col min="4" max="4" width="43" style="1" bestFit="1" customWidth="1"/>
    <col min="5" max="5" width="12.5" style="1" customWidth="1"/>
    <col min="6" max="6" width="17.5" style="37" bestFit="1" customWidth="1"/>
    <col min="7" max="7" width="19.33203125" style="37" bestFit="1" customWidth="1"/>
    <col min="8" max="8" width="14.6640625" style="37" bestFit="1" customWidth="1"/>
    <col min="9" max="9" width="16.33203125" style="38" bestFit="1" customWidth="1"/>
  </cols>
  <sheetData>
    <row r="1" spans="2:9" ht="16" thickBot="1" x14ac:dyDescent="0.25">
      <c r="F1"/>
      <c r="G1"/>
      <c r="H1"/>
      <c r="I1" s="1"/>
    </row>
    <row r="2" spans="2:9" ht="16" thickBot="1" x14ac:dyDescent="0.25">
      <c r="B2" s="245" t="s">
        <v>0</v>
      </c>
      <c r="C2" s="247" t="s">
        <v>1</v>
      </c>
      <c r="D2" s="249" t="s">
        <v>2</v>
      </c>
      <c r="E2" s="236" t="s">
        <v>3</v>
      </c>
      <c r="F2" s="238" t="s">
        <v>4</v>
      </c>
      <c r="G2" s="239"/>
      <c r="H2" s="239"/>
      <c r="I2" s="240"/>
    </row>
    <row r="3" spans="2:9" s="1" customFormat="1" ht="16" thickBot="1" x14ac:dyDescent="0.25">
      <c r="B3" s="246"/>
      <c r="C3" s="248"/>
      <c r="D3" s="250"/>
      <c r="E3" s="237"/>
      <c r="F3" s="62" t="s">
        <v>237</v>
      </c>
      <c r="G3" s="66" t="s">
        <v>238</v>
      </c>
      <c r="H3" s="147" t="s">
        <v>239</v>
      </c>
      <c r="I3" s="148" t="s">
        <v>240</v>
      </c>
    </row>
    <row r="4" spans="2:9" x14ac:dyDescent="0.2">
      <c r="B4" s="241" t="s">
        <v>5</v>
      </c>
      <c r="C4" s="4" t="s">
        <v>6</v>
      </c>
      <c r="D4" s="5" t="s">
        <v>7</v>
      </c>
      <c r="E4" s="6" t="s">
        <v>8</v>
      </c>
      <c r="F4" s="176">
        <v>158.723964905191</v>
      </c>
      <c r="G4" s="176">
        <v>162.36514030000001</v>
      </c>
      <c r="H4" s="177">
        <v>170.0923881747662</v>
      </c>
      <c r="I4" s="178">
        <v>175.50544429999999</v>
      </c>
    </row>
    <row r="5" spans="2:9" x14ac:dyDescent="0.2">
      <c r="B5" s="242"/>
      <c r="C5" s="9"/>
      <c r="D5" s="10" t="s">
        <v>9</v>
      </c>
      <c r="E5" s="6" t="s">
        <v>10</v>
      </c>
      <c r="F5" s="179"/>
      <c r="G5" s="179" t="s">
        <v>231</v>
      </c>
      <c r="H5" s="180">
        <v>0</v>
      </c>
      <c r="I5" s="181"/>
    </row>
    <row r="6" spans="2:9" x14ac:dyDescent="0.2">
      <c r="B6" s="242"/>
      <c r="C6" s="9" t="s">
        <v>11</v>
      </c>
      <c r="D6" s="10" t="s">
        <v>12</v>
      </c>
      <c r="E6" s="6" t="s">
        <v>13</v>
      </c>
      <c r="F6" s="182">
        <v>0.45689898186264499</v>
      </c>
      <c r="G6" s="182">
        <v>0.46705892700000001</v>
      </c>
      <c r="H6" s="183">
        <v>0.48962222655734072</v>
      </c>
      <c r="I6" s="184">
        <v>0.50520574419999997</v>
      </c>
    </row>
    <row r="7" spans="2:9" x14ac:dyDescent="0.2">
      <c r="B7" s="242"/>
      <c r="C7" s="9" t="s">
        <v>14</v>
      </c>
      <c r="D7" s="10" t="s">
        <v>15</v>
      </c>
      <c r="E7" s="6" t="s">
        <v>16</v>
      </c>
      <c r="F7" s="185">
        <v>-44.505309436954498</v>
      </c>
      <c r="G7" s="185">
        <v>-52.548332799999997</v>
      </c>
      <c r="H7" s="186">
        <v>-58.076794302171869</v>
      </c>
      <c r="I7" s="187">
        <v>-41.980685119999997</v>
      </c>
    </row>
    <row r="8" spans="2:9" x14ac:dyDescent="0.2">
      <c r="B8" s="242"/>
      <c r="C8" s="9" t="s">
        <v>17</v>
      </c>
      <c r="D8" s="10" t="s">
        <v>18</v>
      </c>
      <c r="E8" s="6" t="s">
        <v>19</v>
      </c>
      <c r="F8" s="188"/>
      <c r="G8" s="188" t="s">
        <v>231</v>
      </c>
      <c r="H8" s="189">
        <v>0</v>
      </c>
      <c r="I8" s="190"/>
    </row>
    <row r="9" spans="2:9" x14ac:dyDescent="0.2">
      <c r="B9" s="242"/>
      <c r="C9" s="9"/>
      <c r="D9" s="10" t="s">
        <v>20</v>
      </c>
      <c r="E9" s="6" t="s">
        <v>19</v>
      </c>
      <c r="F9" s="179">
        <v>69.258949658624402</v>
      </c>
      <c r="G9" s="179">
        <v>71.468747669999999</v>
      </c>
      <c r="H9" s="180">
        <v>73.11297620430868</v>
      </c>
      <c r="I9" s="181">
        <v>66.281999999999996</v>
      </c>
    </row>
    <row r="10" spans="2:9" x14ac:dyDescent="0.2">
      <c r="B10" s="242"/>
      <c r="C10" s="9" t="s">
        <v>21</v>
      </c>
      <c r="D10" s="10" t="s">
        <v>22</v>
      </c>
      <c r="E10" s="6" t="s">
        <v>16</v>
      </c>
      <c r="F10" s="179">
        <v>144.73065467397501</v>
      </c>
      <c r="G10" s="179">
        <v>194.76094280000001</v>
      </c>
      <c r="H10" s="180">
        <v>165.91217998111421</v>
      </c>
      <c r="I10" s="181">
        <v>195.24672200000001</v>
      </c>
    </row>
    <row r="11" spans="2:9" x14ac:dyDescent="0.2">
      <c r="B11" s="242"/>
      <c r="C11" s="9" t="s">
        <v>23</v>
      </c>
      <c r="D11" s="10" t="s">
        <v>24</v>
      </c>
      <c r="E11" s="6" t="s">
        <v>25</v>
      </c>
      <c r="F11" s="191">
        <f>1.34252387359159*1000</f>
        <v>1342.52387359159</v>
      </c>
      <c r="G11" s="191">
        <v>1370.686651</v>
      </c>
      <c r="H11" s="192">
        <v>1373.0612486342909</v>
      </c>
      <c r="I11" s="193">
        <v>1375.2373789999999</v>
      </c>
    </row>
    <row r="12" spans="2:9" x14ac:dyDescent="0.2">
      <c r="B12" s="242"/>
      <c r="C12" s="9"/>
      <c r="D12" s="10" t="s">
        <v>26</v>
      </c>
      <c r="E12" s="6" t="s">
        <v>25</v>
      </c>
      <c r="F12" s="191">
        <f>8.02547457608931*1000</f>
        <v>8025.4745760893102</v>
      </c>
      <c r="G12" s="191">
        <v>8100.1499009999998</v>
      </c>
      <c r="H12" s="192">
        <v>8563.4437289633115</v>
      </c>
      <c r="I12" s="193">
        <v>8833.695436</v>
      </c>
    </row>
    <row r="13" spans="2:9" x14ac:dyDescent="0.2">
      <c r="B13" s="242"/>
      <c r="C13" s="9" t="s">
        <v>27</v>
      </c>
      <c r="D13" s="10" t="s">
        <v>28</v>
      </c>
      <c r="E13" s="6" t="s">
        <v>13</v>
      </c>
      <c r="F13" s="182">
        <v>0</v>
      </c>
      <c r="G13" s="182" t="s">
        <v>231</v>
      </c>
      <c r="H13" s="183">
        <v>0</v>
      </c>
      <c r="I13" s="184"/>
    </row>
    <row r="14" spans="2:9" x14ac:dyDescent="0.2">
      <c r="B14" s="242"/>
      <c r="C14" s="9" t="s">
        <v>29</v>
      </c>
      <c r="D14" s="10" t="s">
        <v>30</v>
      </c>
      <c r="E14" s="6" t="s">
        <v>13</v>
      </c>
      <c r="F14" s="182">
        <v>0</v>
      </c>
      <c r="G14" s="182" t="s">
        <v>231</v>
      </c>
      <c r="H14" s="183">
        <v>0</v>
      </c>
      <c r="I14" s="184">
        <v>0</v>
      </c>
    </row>
    <row r="15" spans="2:9" x14ac:dyDescent="0.2">
      <c r="B15" s="242"/>
      <c r="C15" s="9" t="s">
        <v>31</v>
      </c>
      <c r="D15" s="10" t="s">
        <v>32</v>
      </c>
      <c r="E15" s="6" t="s">
        <v>13</v>
      </c>
      <c r="F15" s="182">
        <v>0</v>
      </c>
      <c r="G15" s="182" t="s">
        <v>231</v>
      </c>
      <c r="H15" s="183">
        <v>0</v>
      </c>
      <c r="I15" s="184">
        <v>0</v>
      </c>
    </row>
    <row r="16" spans="2:9" x14ac:dyDescent="0.2">
      <c r="B16" s="242"/>
      <c r="C16" s="9" t="s">
        <v>33</v>
      </c>
      <c r="D16" s="10" t="s">
        <v>34</v>
      </c>
      <c r="E16" s="6" t="s">
        <v>35</v>
      </c>
      <c r="F16" s="191">
        <v>0</v>
      </c>
      <c r="G16" s="191">
        <v>0</v>
      </c>
      <c r="H16" s="192">
        <v>0</v>
      </c>
      <c r="I16" s="193"/>
    </row>
    <row r="17" spans="2:9" x14ac:dyDescent="0.2">
      <c r="B17" s="242"/>
      <c r="C17" s="9" t="s">
        <v>36</v>
      </c>
      <c r="D17" s="10" t="s">
        <v>37</v>
      </c>
      <c r="E17" s="6" t="s">
        <v>13</v>
      </c>
      <c r="F17" s="182">
        <v>0</v>
      </c>
      <c r="G17" s="182" t="s">
        <v>231</v>
      </c>
      <c r="H17" s="183">
        <v>0</v>
      </c>
      <c r="I17" s="184"/>
    </row>
    <row r="18" spans="2:9" x14ac:dyDescent="0.2">
      <c r="B18" s="242"/>
      <c r="C18" s="9" t="s">
        <v>38</v>
      </c>
      <c r="D18" s="10" t="s">
        <v>39</v>
      </c>
      <c r="E18" s="6" t="s">
        <v>13</v>
      </c>
      <c r="F18" s="182">
        <v>0</v>
      </c>
      <c r="G18" s="182">
        <v>-1.3100000000000001E-16</v>
      </c>
      <c r="H18" s="183">
        <v>0</v>
      </c>
      <c r="I18" s="184"/>
    </row>
    <row r="19" spans="2:9" x14ac:dyDescent="0.2">
      <c r="B19" s="242"/>
      <c r="C19" s="9" t="s">
        <v>40</v>
      </c>
      <c r="D19" s="10" t="s">
        <v>41</v>
      </c>
      <c r="E19" s="6" t="s">
        <v>13</v>
      </c>
      <c r="F19" s="182">
        <v>0.86613798072708803</v>
      </c>
      <c r="G19" s="182">
        <v>0.77001859399999995</v>
      </c>
      <c r="H19" s="183">
        <v>0.79470501142007433</v>
      </c>
      <c r="I19" s="184">
        <v>0.77277181569999998</v>
      </c>
    </row>
    <row r="20" spans="2:9" x14ac:dyDescent="0.2">
      <c r="B20" s="242"/>
      <c r="C20" s="9" t="s">
        <v>42</v>
      </c>
      <c r="D20" s="10" t="s">
        <v>43</v>
      </c>
      <c r="E20" s="6" t="s">
        <v>13</v>
      </c>
      <c r="F20" s="182">
        <v>0.133862019272914</v>
      </c>
      <c r="G20" s="182">
        <v>0.229981406</v>
      </c>
      <c r="H20" s="183">
        <v>0.2052949885799337</v>
      </c>
      <c r="I20" s="184">
        <v>0.2272281843</v>
      </c>
    </row>
    <row r="21" spans="2:9" x14ac:dyDescent="0.2">
      <c r="B21" s="242"/>
      <c r="C21" s="9"/>
      <c r="D21" s="10" t="s">
        <v>44</v>
      </c>
      <c r="E21" s="6" t="s">
        <v>8</v>
      </c>
      <c r="F21" s="179">
        <v>0</v>
      </c>
      <c r="G21" s="179">
        <v>-2.1300000000000001E-14</v>
      </c>
      <c r="H21" s="180">
        <v>0</v>
      </c>
      <c r="I21" s="181"/>
    </row>
    <row r="22" spans="2:9" x14ac:dyDescent="0.2">
      <c r="B22" s="242"/>
      <c r="C22" s="9"/>
      <c r="D22" s="10" t="s">
        <v>45</v>
      </c>
      <c r="E22" s="6" t="s">
        <v>8</v>
      </c>
      <c r="F22" s="179">
        <v>137.47685445598</v>
      </c>
      <c r="G22" s="179">
        <v>125.02417699999999</v>
      </c>
      <c r="H22" s="180">
        <v>135.1732732868953</v>
      </c>
      <c r="I22" s="181">
        <v>135.62566090000001</v>
      </c>
    </row>
    <row r="23" spans="2:9" x14ac:dyDescent="0.2">
      <c r="B23" s="242"/>
      <c r="C23" s="9"/>
      <c r="D23" s="10" t="s">
        <v>46</v>
      </c>
      <c r="E23" s="6" t="s">
        <v>8</v>
      </c>
      <c r="F23" s="179">
        <v>21.247110449212101</v>
      </c>
      <c r="G23" s="179">
        <v>37.340963260000002</v>
      </c>
      <c r="H23" s="180">
        <v>34.919114887872283</v>
      </c>
      <c r="I23" s="181">
        <v>39.879783449999998</v>
      </c>
    </row>
    <row r="24" spans="2:9" x14ac:dyDescent="0.2">
      <c r="B24" s="242"/>
      <c r="C24" s="9" t="s">
        <v>47</v>
      </c>
      <c r="D24" s="10" t="s">
        <v>48</v>
      </c>
      <c r="E24" s="6" t="s">
        <v>8</v>
      </c>
      <c r="F24" s="179">
        <v>67.123189644658396</v>
      </c>
      <c r="G24" s="179">
        <v>41.270537939999997</v>
      </c>
      <c r="H24" s="180">
        <v>39.917622943664981</v>
      </c>
      <c r="I24" s="181">
        <v>47.927074750000003</v>
      </c>
    </row>
    <row r="25" spans="2:9" x14ac:dyDescent="0.2">
      <c r="B25" s="242"/>
      <c r="C25" s="9" t="s">
        <v>49</v>
      </c>
      <c r="D25" s="10" t="s">
        <v>50</v>
      </c>
      <c r="E25" s="6" t="s">
        <v>8</v>
      </c>
      <c r="F25" s="179">
        <v>0</v>
      </c>
      <c r="G25" s="179" t="s">
        <v>231</v>
      </c>
      <c r="H25" s="180">
        <v>0</v>
      </c>
      <c r="I25" s="181"/>
    </row>
    <row r="26" spans="2:9" x14ac:dyDescent="0.2">
      <c r="B26" s="242"/>
      <c r="C26" s="9" t="s">
        <v>51</v>
      </c>
      <c r="D26" s="10" t="s">
        <v>52</v>
      </c>
      <c r="E26" s="6" t="s">
        <v>8</v>
      </c>
      <c r="F26" s="179">
        <v>27.644820659354998</v>
      </c>
      <c r="G26" s="179">
        <v>43.862074620000001</v>
      </c>
      <c r="H26" s="180">
        <v>42.770983167166797</v>
      </c>
      <c r="I26" s="181">
        <v>40.863302590000004</v>
      </c>
    </row>
    <row r="27" spans="2:9" x14ac:dyDescent="0.2">
      <c r="B27" s="242"/>
      <c r="C27" s="9" t="s">
        <v>53</v>
      </c>
      <c r="D27" s="10" t="s">
        <v>54</v>
      </c>
      <c r="E27" s="6" t="s">
        <v>13</v>
      </c>
      <c r="F27" s="182">
        <f>H27/H4*F4</f>
        <v>0.13438861364687285</v>
      </c>
      <c r="G27" s="182">
        <v>0.13737142899999999</v>
      </c>
      <c r="H27" s="183">
        <v>0.14401404508982879</v>
      </c>
      <c r="I27" s="184">
        <v>0.15414018669999999</v>
      </c>
    </row>
    <row r="28" spans="2:9" x14ac:dyDescent="0.2">
      <c r="B28" s="242"/>
      <c r="C28" s="9" t="s">
        <v>55</v>
      </c>
      <c r="D28" s="10" t="s">
        <v>56</v>
      </c>
      <c r="E28" s="6" t="s">
        <v>13</v>
      </c>
      <c r="F28" s="182">
        <v>0</v>
      </c>
      <c r="G28" s="182">
        <v>0</v>
      </c>
      <c r="H28" s="183">
        <v>0</v>
      </c>
      <c r="I28" s="184"/>
    </row>
    <row r="29" spans="2:9" x14ac:dyDescent="0.2">
      <c r="B29" s="242"/>
      <c r="C29" s="9" t="s">
        <v>57</v>
      </c>
      <c r="D29" s="10" t="s">
        <v>58</v>
      </c>
      <c r="E29" s="6" t="s">
        <v>13</v>
      </c>
      <c r="F29" s="182">
        <f>H29/(H4*H19)*F4*F19</f>
        <v>0.24760716566088717</v>
      </c>
      <c r="G29" s="182">
        <v>0.139645887</v>
      </c>
      <c r="H29" s="183">
        <v>0.24345822578003379</v>
      </c>
      <c r="I29" s="184">
        <v>0.1165847436</v>
      </c>
    </row>
    <row r="30" spans="2:9" ht="16" thickBot="1" x14ac:dyDescent="0.25">
      <c r="B30" s="243"/>
      <c r="C30" s="9" t="s">
        <v>59</v>
      </c>
      <c r="D30" s="15" t="s">
        <v>60</v>
      </c>
      <c r="E30" s="6" t="s">
        <v>13</v>
      </c>
      <c r="F30" s="182">
        <f>H30/(H4*H20)*F4*F20</f>
        <v>7.4233896478005601E-2</v>
      </c>
      <c r="G30" s="182">
        <v>0.130267566</v>
      </c>
      <c r="H30" s="183">
        <v>0.1220016230388651</v>
      </c>
      <c r="I30" s="184">
        <v>0.1393333802</v>
      </c>
    </row>
    <row r="31" spans="2:9" x14ac:dyDescent="0.2">
      <c r="B31" s="236" t="s">
        <v>61</v>
      </c>
      <c r="C31" s="4" t="s">
        <v>62</v>
      </c>
      <c r="D31" s="10" t="s">
        <v>63</v>
      </c>
      <c r="E31" s="16" t="s">
        <v>16</v>
      </c>
      <c r="F31" s="194">
        <v>0</v>
      </c>
      <c r="G31" s="194">
        <v>0</v>
      </c>
      <c r="H31" s="195">
        <v>0</v>
      </c>
      <c r="I31" s="196"/>
    </row>
    <row r="32" spans="2:9" x14ac:dyDescent="0.2">
      <c r="B32" s="244"/>
      <c r="C32" s="9" t="s">
        <v>64</v>
      </c>
      <c r="D32" s="10" t="s">
        <v>65</v>
      </c>
      <c r="E32" s="6" t="s">
        <v>16</v>
      </c>
      <c r="F32" s="185">
        <v>72.533668918612307</v>
      </c>
      <c r="G32" s="185">
        <v>72.397767299999998</v>
      </c>
      <c r="H32" s="186">
        <v>72.356948736529304</v>
      </c>
      <c r="I32" s="187">
        <v>72.533800729999996</v>
      </c>
    </row>
    <row r="33" spans="2:9" x14ac:dyDescent="0.2">
      <c r="B33" s="244"/>
      <c r="C33" s="9" t="s">
        <v>66</v>
      </c>
      <c r="D33" s="10" t="s">
        <v>67</v>
      </c>
      <c r="E33" s="6" t="s">
        <v>16</v>
      </c>
      <c r="F33" s="197">
        <v>72.196985755362704</v>
      </c>
      <c r="G33" s="197">
        <v>122.3631755</v>
      </c>
      <c r="H33" s="198">
        <v>93.555231244584846</v>
      </c>
      <c r="I33" s="199">
        <v>122.7129213</v>
      </c>
    </row>
    <row r="34" spans="2:9" x14ac:dyDescent="0.2">
      <c r="B34" s="244"/>
      <c r="C34" s="9" t="s">
        <v>68</v>
      </c>
      <c r="D34" s="10" t="s">
        <v>69</v>
      </c>
      <c r="E34" s="6" t="s">
        <v>16</v>
      </c>
      <c r="F34" s="197"/>
      <c r="G34" s="197" t="s">
        <v>231</v>
      </c>
      <c r="H34" s="198">
        <v>0</v>
      </c>
      <c r="I34" s="199"/>
    </row>
    <row r="35" spans="2:9" x14ac:dyDescent="0.2">
      <c r="B35" s="244"/>
      <c r="C35" s="9" t="s">
        <v>70</v>
      </c>
      <c r="D35" s="10" t="s">
        <v>71</v>
      </c>
      <c r="E35" s="6" t="s">
        <v>16</v>
      </c>
      <c r="F35" s="185"/>
      <c r="G35" s="185" t="s">
        <v>231</v>
      </c>
      <c r="H35" s="186">
        <v>0</v>
      </c>
      <c r="I35" s="187"/>
    </row>
    <row r="36" spans="2:9" x14ac:dyDescent="0.2">
      <c r="B36" s="244"/>
      <c r="C36" s="9" t="s">
        <v>72</v>
      </c>
      <c r="D36" s="10" t="s">
        <v>73</v>
      </c>
      <c r="E36" s="6" t="s">
        <v>16</v>
      </c>
      <c r="F36" s="197"/>
      <c r="G36" s="197" t="s">
        <v>231</v>
      </c>
      <c r="H36" s="198">
        <v>0</v>
      </c>
      <c r="I36" s="199"/>
    </row>
    <row r="37" spans="2:9" x14ac:dyDescent="0.2">
      <c r="B37" s="244"/>
      <c r="C37" s="9" t="s">
        <v>74</v>
      </c>
      <c r="D37" s="10" t="s">
        <v>75</v>
      </c>
      <c r="E37" s="6" t="s">
        <v>16</v>
      </c>
      <c r="F37" s="185"/>
      <c r="G37" s="185" t="s">
        <v>231</v>
      </c>
      <c r="H37" s="186">
        <v>0</v>
      </c>
      <c r="I37" s="187"/>
    </row>
    <row r="38" spans="2:9" x14ac:dyDescent="0.2">
      <c r="B38" s="244"/>
      <c r="C38" s="9" t="s">
        <v>76</v>
      </c>
      <c r="D38" s="10" t="s">
        <v>77</v>
      </c>
      <c r="E38" s="6" t="s">
        <v>16</v>
      </c>
      <c r="F38" s="197"/>
      <c r="G38" s="197" t="s">
        <v>231</v>
      </c>
      <c r="H38" s="198">
        <v>0</v>
      </c>
      <c r="I38" s="199"/>
    </row>
    <row r="39" spans="2:9" x14ac:dyDescent="0.2">
      <c r="B39" s="244"/>
      <c r="C39" s="9" t="s">
        <v>78</v>
      </c>
      <c r="D39" s="10" t="s">
        <v>79</v>
      </c>
      <c r="E39" s="6" t="s">
        <v>16</v>
      </c>
      <c r="F39" s="197"/>
      <c r="G39" s="197" t="s">
        <v>231</v>
      </c>
      <c r="H39" s="198">
        <v>0</v>
      </c>
      <c r="I39" s="199"/>
    </row>
    <row r="40" spans="2:9" x14ac:dyDescent="0.2">
      <c r="B40" s="244"/>
      <c r="C40" s="9" t="s">
        <v>80</v>
      </c>
      <c r="D40" s="10" t="s">
        <v>81</v>
      </c>
      <c r="E40" s="6" t="s">
        <v>16</v>
      </c>
      <c r="F40" s="185"/>
      <c r="G40" s="185" t="s">
        <v>231</v>
      </c>
      <c r="H40" s="186">
        <v>0</v>
      </c>
      <c r="I40" s="187"/>
    </row>
    <row r="41" spans="2:9" x14ac:dyDescent="0.2">
      <c r="B41" s="244"/>
      <c r="C41" s="9" t="s">
        <v>82</v>
      </c>
      <c r="D41" s="10" t="s">
        <v>83</v>
      </c>
      <c r="E41" s="6" t="s">
        <v>16</v>
      </c>
      <c r="F41" s="185"/>
      <c r="G41" s="185" t="s">
        <v>231</v>
      </c>
      <c r="H41" s="186">
        <v>0</v>
      </c>
      <c r="I41" s="187"/>
    </row>
    <row r="42" spans="2:9" x14ac:dyDescent="0.2">
      <c r="B42" s="244"/>
      <c r="C42" s="9" t="s">
        <v>84</v>
      </c>
      <c r="D42" s="10" t="s">
        <v>85</v>
      </c>
      <c r="E42" s="6" t="s">
        <v>16</v>
      </c>
      <c r="F42" s="185"/>
      <c r="G42" s="185" t="s">
        <v>231</v>
      </c>
      <c r="H42" s="186">
        <v>0</v>
      </c>
      <c r="I42" s="187"/>
    </row>
    <row r="43" spans="2:9" x14ac:dyDescent="0.2">
      <c r="B43" s="244"/>
      <c r="C43" s="9" t="s">
        <v>86</v>
      </c>
      <c r="D43" s="10" t="s">
        <v>87</v>
      </c>
      <c r="E43" s="6" t="s">
        <v>25</v>
      </c>
      <c r="F43" s="200"/>
      <c r="G43" s="200" t="s">
        <v>231</v>
      </c>
      <c r="H43" s="201">
        <v>0</v>
      </c>
      <c r="I43" s="202"/>
    </row>
    <row r="44" spans="2:9" x14ac:dyDescent="0.2">
      <c r="B44" s="244"/>
      <c r="C44" s="9" t="s">
        <v>88</v>
      </c>
      <c r="D44" s="10" t="s">
        <v>89</v>
      </c>
      <c r="E44" s="6" t="s">
        <v>25</v>
      </c>
      <c r="F44" s="200"/>
      <c r="G44" s="200" t="s">
        <v>231</v>
      </c>
      <c r="H44" s="201">
        <v>0</v>
      </c>
      <c r="I44" s="202"/>
    </row>
    <row r="45" spans="2:9" x14ac:dyDescent="0.2">
      <c r="B45" s="244"/>
      <c r="C45" s="9" t="s">
        <v>90</v>
      </c>
      <c r="D45" s="10" t="s">
        <v>91</v>
      </c>
      <c r="E45" s="6" t="s">
        <v>16</v>
      </c>
      <c r="F45" s="185"/>
      <c r="G45" s="185">
        <v>0</v>
      </c>
      <c r="H45" s="186">
        <v>0</v>
      </c>
      <c r="I45" s="187"/>
    </row>
    <row r="46" spans="2:9" x14ac:dyDescent="0.2">
      <c r="B46" s="244"/>
      <c r="C46" s="9" t="s">
        <v>92</v>
      </c>
      <c r="D46" s="10" t="s">
        <v>93</v>
      </c>
      <c r="E46" s="6" t="s">
        <v>16</v>
      </c>
      <c r="F46" s="185">
        <v>31.234413581257201</v>
      </c>
      <c r="G46" s="185">
        <v>31.253349660000001</v>
      </c>
      <c r="H46" s="186">
        <v>31.23441358125725</v>
      </c>
      <c r="I46" s="187">
        <v>31.234413579999998</v>
      </c>
    </row>
    <row r="47" spans="2:9" x14ac:dyDescent="0.2">
      <c r="B47" s="244"/>
      <c r="C47" s="9" t="s">
        <v>94</v>
      </c>
      <c r="D47" s="10" t="s">
        <v>95</v>
      </c>
      <c r="E47" s="6" t="s">
        <v>16</v>
      </c>
      <c r="F47" s="185">
        <v>23.4258101859429</v>
      </c>
      <c r="G47" s="185">
        <v>23.440012240000001</v>
      </c>
      <c r="H47" s="186">
        <v>23.42581018594294</v>
      </c>
      <c r="I47" s="187">
        <v>23.42581019</v>
      </c>
    </row>
    <row r="48" spans="2:9" x14ac:dyDescent="0.2">
      <c r="B48" s="244"/>
      <c r="C48" s="9" t="s">
        <v>96</v>
      </c>
      <c r="D48" s="10" t="s">
        <v>97</v>
      </c>
      <c r="E48" s="6" t="s">
        <v>16</v>
      </c>
      <c r="F48" s="200">
        <v>0</v>
      </c>
      <c r="G48" s="200">
        <v>0</v>
      </c>
      <c r="H48" s="201">
        <v>0</v>
      </c>
      <c r="I48" s="202">
        <v>0</v>
      </c>
    </row>
    <row r="49" spans="2:11" x14ac:dyDescent="0.2">
      <c r="B49" s="244"/>
      <c r="C49" s="9" t="s">
        <v>98</v>
      </c>
      <c r="D49" s="10" t="s">
        <v>99</v>
      </c>
      <c r="E49" s="6" t="s">
        <v>16</v>
      </c>
      <c r="F49" s="185">
        <v>4.2904414259968799</v>
      </c>
      <c r="G49" s="185">
        <v>4.2895691999999999</v>
      </c>
      <c r="H49" s="186">
        <v>4.2904414259968764</v>
      </c>
      <c r="I49" s="187">
        <v>4.2904414260000001</v>
      </c>
    </row>
    <row r="50" spans="2:11" x14ac:dyDescent="0.2">
      <c r="B50" s="244"/>
      <c r="C50" s="9" t="s">
        <v>100</v>
      </c>
      <c r="D50" s="10" t="s">
        <v>101</v>
      </c>
      <c r="E50" s="6" t="s">
        <v>16</v>
      </c>
      <c r="F50" s="185">
        <v>5.7425652547199997</v>
      </c>
      <c r="G50" s="185">
        <v>5.7470551560000001</v>
      </c>
      <c r="H50" s="186">
        <v>5.7426970682166134</v>
      </c>
      <c r="I50" s="187">
        <v>5.742697068</v>
      </c>
    </row>
    <row r="51" spans="2:11" x14ac:dyDescent="0.2">
      <c r="B51" s="244"/>
      <c r="C51" s="9" t="s">
        <v>102</v>
      </c>
      <c r="D51" s="10" t="s">
        <v>103</v>
      </c>
      <c r="E51" s="6" t="s">
        <v>25</v>
      </c>
      <c r="F51" s="200">
        <f>1.11551477075918*1000</f>
        <v>1115.51477075918</v>
      </c>
      <c r="G51" s="200">
        <v>1115.287992</v>
      </c>
      <c r="H51" s="201">
        <v>1115.514770759188</v>
      </c>
      <c r="I51" s="202">
        <v>1115.5147710000001</v>
      </c>
    </row>
    <row r="52" spans="2:11" x14ac:dyDescent="0.2">
      <c r="B52" s="244"/>
      <c r="C52" s="9" t="s">
        <v>104</v>
      </c>
      <c r="D52" s="10" t="s">
        <v>105</v>
      </c>
      <c r="E52" s="6" t="s">
        <v>16</v>
      </c>
      <c r="F52" s="185">
        <v>58.950665193197104</v>
      </c>
      <c r="G52" s="185">
        <v>58.982931100000002</v>
      </c>
      <c r="H52" s="186">
        <v>58.950665193197068</v>
      </c>
      <c r="I52" s="187">
        <v>58.950665190000002</v>
      </c>
    </row>
    <row r="53" spans="2:11" x14ac:dyDescent="0.2">
      <c r="B53" s="244"/>
      <c r="C53" s="9" t="s">
        <v>106</v>
      </c>
      <c r="D53" s="10" t="s">
        <v>107</v>
      </c>
      <c r="E53" s="6" t="s">
        <v>16</v>
      </c>
      <c r="F53" s="185">
        <v>0</v>
      </c>
      <c r="G53" s="185">
        <v>0</v>
      </c>
      <c r="H53" s="186">
        <v>0</v>
      </c>
      <c r="I53" s="187">
        <v>0</v>
      </c>
    </row>
    <row r="54" spans="2:11" x14ac:dyDescent="0.2">
      <c r="B54" s="244"/>
      <c r="C54" s="9" t="s">
        <v>108</v>
      </c>
      <c r="D54" s="10" t="s">
        <v>109</v>
      </c>
      <c r="E54" s="6" t="s">
        <v>16</v>
      </c>
      <c r="F54" s="185">
        <v>6.1802999999999999</v>
      </c>
      <c r="G54" s="185">
        <v>6.1802999999999999</v>
      </c>
      <c r="H54" s="186">
        <v>6.1752609804775416</v>
      </c>
      <c r="I54" s="187">
        <v>6.1752609769999998</v>
      </c>
    </row>
    <row r="55" spans="2:11" x14ac:dyDescent="0.2">
      <c r="B55" s="244"/>
      <c r="C55" s="9" t="s">
        <v>110</v>
      </c>
      <c r="D55" s="10" t="s">
        <v>111</v>
      </c>
      <c r="E55" s="6" t="s">
        <v>16</v>
      </c>
      <c r="F55" s="229">
        <v>28.7708322397893</v>
      </c>
      <c r="G55" s="185">
        <v>25.526423999999999</v>
      </c>
      <c r="H55" s="186">
        <v>25.538993019659351</v>
      </c>
      <c r="I55" s="187">
        <v>25.53317534</v>
      </c>
      <c r="K55" s="18"/>
    </row>
    <row r="56" spans="2:11" x14ac:dyDescent="0.2">
      <c r="B56" s="244"/>
      <c r="C56" s="9" t="s">
        <v>112</v>
      </c>
      <c r="D56" s="10" t="s">
        <v>113</v>
      </c>
      <c r="E56" s="6" t="s">
        <v>16</v>
      </c>
      <c r="F56" s="197">
        <v>28.7708322397893</v>
      </c>
      <c r="G56" s="197">
        <v>76.579272000000003</v>
      </c>
      <c r="H56" s="198">
        <v>51.077986039318709</v>
      </c>
      <c r="I56" s="199">
        <v>76.599526010000005</v>
      </c>
    </row>
    <row r="57" spans="2:11" x14ac:dyDescent="0.2">
      <c r="B57" s="244"/>
      <c r="C57" s="9" t="s">
        <v>114</v>
      </c>
      <c r="D57" s="10" t="s">
        <v>115</v>
      </c>
      <c r="E57" s="6" t="s">
        <v>25</v>
      </c>
      <c r="F57" s="197">
        <f>0.1895292*1000</f>
        <v>189.5292</v>
      </c>
      <c r="G57" s="197">
        <v>189.5292</v>
      </c>
      <c r="H57" s="198">
        <v>189.374670067978</v>
      </c>
      <c r="I57" s="199">
        <v>189.37466989999999</v>
      </c>
    </row>
    <row r="58" spans="2:11" x14ac:dyDescent="0.2">
      <c r="B58" s="244"/>
      <c r="C58" s="9" t="s">
        <v>116</v>
      </c>
      <c r="D58" s="10" t="s">
        <v>117</v>
      </c>
      <c r="E58" s="20" t="s">
        <v>25</v>
      </c>
      <c r="F58" s="185">
        <f>0.0374799028324102*1000</f>
        <v>37.479902832410197</v>
      </c>
      <c r="G58" s="185">
        <v>65.869459199999994</v>
      </c>
      <c r="H58" s="186">
        <v>68.171807807125248</v>
      </c>
      <c r="I58" s="187">
        <v>70.347938009999993</v>
      </c>
    </row>
    <row r="59" spans="2:11" x14ac:dyDescent="0.2">
      <c r="B59" s="244"/>
      <c r="C59" s="9" t="s">
        <v>118</v>
      </c>
      <c r="D59" s="10" t="s">
        <v>119</v>
      </c>
      <c r="E59" s="6" t="s">
        <v>16</v>
      </c>
      <c r="F59" s="185">
        <v>63.721964479578702</v>
      </c>
      <c r="G59" s="185">
        <v>108.285996</v>
      </c>
      <c r="H59" s="186">
        <v>82.792240039455621</v>
      </c>
      <c r="I59" s="187">
        <v>108.3079623</v>
      </c>
    </row>
    <row r="60" spans="2:11" ht="16" thickBot="1" x14ac:dyDescent="0.25">
      <c r="B60" s="244"/>
      <c r="C60" s="9" t="s">
        <v>120</v>
      </c>
      <c r="D60" s="10" t="s">
        <v>121</v>
      </c>
      <c r="E60" s="6" t="s">
        <v>122</v>
      </c>
      <c r="F60" s="185"/>
      <c r="G60" s="185">
        <v>11.60403324</v>
      </c>
      <c r="H60" s="186">
        <v>12.43596072915572</v>
      </c>
      <c r="I60" s="187">
        <v>11.632</v>
      </c>
    </row>
    <row r="61" spans="2:11" x14ac:dyDescent="0.2">
      <c r="B61" s="236" t="s">
        <v>123</v>
      </c>
      <c r="C61" s="4" t="s">
        <v>124</v>
      </c>
      <c r="D61" s="5" t="s">
        <v>125</v>
      </c>
      <c r="E61" s="16" t="s">
        <v>126</v>
      </c>
      <c r="F61" s="203"/>
      <c r="G61" s="203" t="s">
        <v>231</v>
      </c>
      <c r="H61" s="204">
        <v>0</v>
      </c>
      <c r="I61" s="205"/>
    </row>
    <row r="62" spans="2:11" x14ac:dyDescent="0.2">
      <c r="B62" s="244"/>
      <c r="C62" s="9" t="s">
        <v>127</v>
      </c>
      <c r="D62" s="10" t="s">
        <v>128</v>
      </c>
      <c r="E62" s="6" t="s">
        <v>129</v>
      </c>
      <c r="F62" s="206"/>
      <c r="G62" s="206"/>
      <c r="H62" s="207">
        <v>0</v>
      </c>
      <c r="I62" s="208"/>
    </row>
    <row r="63" spans="2:11" x14ac:dyDescent="0.2">
      <c r="B63" s="244"/>
      <c r="C63" s="9" t="s">
        <v>130</v>
      </c>
      <c r="D63" s="10" t="s">
        <v>131</v>
      </c>
      <c r="E63" s="6" t="s">
        <v>129</v>
      </c>
      <c r="F63" s="200"/>
      <c r="G63" s="200"/>
      <c r="H63" s="201">
        <v>0</v>
      </c>
      <c r="I63" s="202"/>
    </row>
    <row r="64" spans="2:11" x14ac:dyDescent="0.2">
      <c r="B64" s="244"/>
      <c r="C64" s="9" t="s">
        <v>132</v>
      </c>
      <c r="D64" s="10" t="s">
        <v>133</v>
      </c>
      <c r="E64" s="6" t="s">
        <v>13</v>
      </c>
      <c r="F64" s="209"/>
      <c r="G64" s="209"/>
      <c r="H64" s="210">
        <v>0</v>
      </c>
      <c r="I64" s="211"/>
    </row>
    <row r="65" spans="2:9" x14ac:dyDescent="0.2">
      <c r="B65" s="244"/>
      <c r="C65" s="9" t="s">
        <v>134</v>
      </c>
      <c r="D65" s="10" t="s">
        <v>135</v>
      </c>
      <c r="E65" s="6" t="s">
        <v>136</v>
      </c>
      <c r="F65" s="212"/>
      <c r="G65" s="212"/>
      <c r="H65" s="213"/>
      <c r="I65" s="214"/>
    </row>
    <row r="66" spans="2:9" x14ac:dyDescent="0.2">
      <c r="B66" s="244"/>
      <c r="C66" s="9" t="s">
        <v>137</v>
      </c>
      <c r="D66" s="10" t="s">
        <v>138</v>
      </c>
      <c r="E66" s="6" t="s">
        <v>136</v>
      </c>
      <c r="F66" s="200"/>
      <c r="G66" s="200"/>
      <c r="H66" s="201">
        <v>0</v>
      </c>
      <c r="I66" s="202"/>
    </row>
    <row r="67" spans="2:9" x14ac:dyDescent="0.2">
      <c r="B67" s="244"/>
      <c r="C67" s="9" t="s">
        <v>139</v>
      </c>
      <c r="D67" s="10" t="s">
        <v>140</v>
      </c>
      <c r="E67" s="6" t="s">
        <v>141</v>
      </c>
      <c r="F67" s="185"/>
      <c r="G67" s="185"/>
      <c r="H67" s="186">
        <v>0</v>
      </c>
      <c r="I67" s="187"/>
    </row>
    <row r="68" spans="2:9" x14ac:dyDescent="0.2">
      <c r="B68" s="244"/>
      <c r="C68" s="9" t="s">
        <v>142</v>
      </c>
      <c r="D68" s="40" t="s">
        <v>143</v>
      </c>
      <c r="E68" s="6" t="s">
        <v>126</v>
      </c>
      <c r="F68" s="215"/>
      <c r="G68" s="215"/>
      <c r="H68" s="216">
        <v>0</v>
      </c>
      <c r="I68" s="217"/>
    </row>
    <row r="69" spans="2:9" x14ac:dyDescent="0.2">
      <c r="B69" s="244"/>
      <c r="C69" s="9" t="s">
        <v>144</v>
      </c>
      <c r="D69" s="10" t="s">
        <v>145</v>
      </c>
      <c r="E69" s="6" t="s">
        <v>141</v>
      </c>
      <c r="F69" s="212"/>
      <c r="G69" s="212"/>
      <c r="H69" s="213"/>
      <c r="I69" s="214"/>
    </row>
    <row r="70" spans="2:9" x14ac:dyDescent="0.2">
      <c r="B70" s="244"/>
      <c r="C70" s="9" t="s">
        <v>146</v>
      </c>
      <c r="D70" s="10" t="s">
        <v>147</v>
      </c>
      <c r="E70" s="6" t="s">
        <v>141</v>
      </c>
      <c r="F70" s="212"/>
      <c r="G70" s="212"/>
      <c r="H70" s="213"/>
      <c r="I70" s="214"/>
    </row>
    <row r="71" spans="2:9" x14ac:dyDescent="0.2">
      <c r="B71" s="244"/>
      <c r="C71" s="9" t="s">
        <v>148</v>
      </c>
      <c r="D71" s="10" t="s">
        <v>149</v>
      </c>
      <c r="E71" s="6" t="s">
        <v>13</v>
      </c>
      <c r="F71" s="209"/>
      <c r="G71" s="209"/>
      <c r="H71" s="210">
        <v>0</v>
      </c>
      <c r="I71" s="211"/>
    </row>
    <row r="72" spans="2:9" x14ac:dyDescent="0.2">
      <c r="B72" s="244"/>
      <c r="C72" s="9" t="s">
        <v>150</v>
      </c>
      <c r="D72" s="10" t="s">
        <v>151</v>
      </c>
      <c r="E72" s="6" t="s">
        <v>13</v>
      </c>
      <c r="F72" s="212"/>
      <c r="G72" s="212"/>
      <c r="H72" s="213"/>
      <c r="I72" s="214"/>
    </row>
    <row r="73" spans="2:9" x14ac:dyDescent="0.2">
      <c r="B73" s="244"/>
      <c r="C73" s="9" t="s">
        <v>152</v>
      </c>
      <c r="D73" s="10" t="s">
        <v>153</v>
      </c>
      <c r="E73" s="6" t="s">
        <v>129</v>
      </c>
      <c r="F73" s="185"/>
      <c r="G73" s="185"/>
      <c r="H73" s="186">
        <v>0</v>
      </c>
      <c r="I73" s="187"/>
    </row>
    <row r="74" spans="2:9" x14ac:dyDescent="0.2">
      <c r="B74" s="244"/>
      <c r="C74" s="9" t="s">
        <v>154</v>
      </c>
      <c r="D74" s="10" t="s">
        <v>155</v>
      </c>
      <c r="E74" s="6" t="s">
        <v>156</v>
      </c>
      <c r="F74" s="212"/>
      <c r="G74" s="212">
        <v>0</v>
      </c>
      <c r="H74" s="213"/>
      <c r="I74" s="214"/>
    </row>
    <row r="75" spans="2:9" x14ac:dyDescent="0.2">
      <c r="B75" s="244"/>
      <c r="C75" s="9" t="s">
        <v>157</v>
      </c>
      <c r="D75" s="10" t="s">
        <v>158</v>
      </c>
      <c r="E75" s="6" t="s">
        <v>159</v>
      </c>
      <c r="F75" s="212"/>
      <c r="G75" s="212"/>
      <c r="H75" s="213"/>
      <c r="I75" s="214"/>
    </row>
    <row r="76" spans="2:9" x14ac:dyDescent="0.2">
      <c r="B76" s="244"/>
      <c r="C76" s="9" t="s">
        <v>160</v>
      </c>
      <c r="D76" s="23" t="s">
        <v>160</v>
      </c>
      <c r="E76" s="6" t="s">
        <v>159</v>
      </c>
      <c r="F76" s="212"/>
      <c r="G76" s="212"/>
      <c r="H76" s="213"/>
      <c r="I76" s="214"/>
    </row>
    <row r="77" spans="2:9" x14ac:dyDescent="0.2">
      <c r="B77" s="244"/>
      <c r="C77" s="9" t="s">
        <v>161</v>
      </c>
      <c r="D77" s="10" t="s">
        <v>162</v>
      </c>
      <c r="E77" s="6" t="s">
        <v>126</v>
      </c>
      <c r="F77" s="212"/>
      <c r="G77" s="212"/>
      <c r="H77" s="213">
        <v>0</v>
      </c>
      <c r="I77" s="214"/>
    </row>
    <row r="78" spans="2:9" x14ac:dyDescent="0.2">
      <c r="B78" s="244"/>
      <c r="C78" s="9" t="s">
        <v>163</v>
      </c>
      <c r="D78" s="10" t="s">
        <v>164</v>
      </c>
      <c r="E78" s="6" t="s">
        <v>13</v>
      </c>
      <c r="F78" s="218"/>
      <c r="G78" s="218"/>
      <c r="H78" s="219">
        <v>0.95</v>
      </c>
      <c r="I78" s="220"/>
    </row>
    <row r="79" spans="2:9" x14ac:dyDescent="0.2">
      <c r="B79" s="244"/>
      <c r="C79" s="9" t="s">
        <v>165</v>
      </c>
      <c r="D79" s="10" t="s">
        <v>166</v>
      </c>
      <c r="E79" s="6" t="s">
        <v>156</v>
      </c>
      <c r="F79" s="212"/>
      <c r="G79" s="212">
        <v>0</v>
      </c>
      <c r="H79" s="213"/>
      <c r="I79" s="214"/>
    </row>
    <row r="80" spans="2:9" x14ac:dyDescent="0.2">
      <c r="B80" s="244"/>
      <c r="C80" s="9" t="s">
        <v>167</v>
      </c>
      <c r="D80" s="10" t="s">
        <v>168</v>
      </c>
      <c r="E80" s="6" t="s">
        <v>126</v>
      </c>
      <c r="F80" s="212"/>
      <c r="G80" s="212">
        <v>0</v>
      </c>
      <c r="H80" s="213">
        <v>0</v>
      </c>
      <c r="I80" s="214"/>
    </row>
    <row r="81" spans="2:9" x14ac:dyDescent="0.2">
      <c r="B81" s="244"/>
      <c r="C81" s="9" t="s">
        <v>169</v>
      </c>
      <c r="D81" s="10" t="s">
        <v>170</v>
      </c>
      <c r="E81" s="6" t="s">
        <v>126</v>
      </c>
      <c r="F81" s="212"/>
      <c r="G81" s="212">
        <v>0</v>
      </c>
      <c r="H81" s="213"/>
      <c r="I81" s="214"/>
    </row>
    <row r="82" spans="2:9" x14ac:dyDescent="0.2">
      <c r="B82" s="244"/>
      <c r="C82" s="9" t="s">
        <v>171</v>
      </c>
      <c r="D82" s="10" t="s">
        <v>172</v>
      </c>
      <c r="E82" s="6" t="s">
        <v>173</v>
      </c>
      <c r="F82" s="212"/>
      <c r="G82" s="212"/>
      <c r="H82" s="213">
        <v>0</v>
      </c>
      <c r="I82" s="214"/>
    </row>
    <row r="83" spans="2:9" x14ac:dyDescent="0.2">
      <c r="B83" s="244"/>
      <c r="C83" s="9" t="s">
        <v>174</v>
      </c>
      <c r="D83" s="10" t="s">
        <v>175</v>
      </c>
      <c r="E83" s="6" t="s">
        <v>141</v>
      </c>
      <c r="F83" s="212"/>
      <c r="G83" s="212"/>
      <c r="H83" s="213"/>
      <c r="I83" s="214"/>
    </row>
    <row r="84" spans="2:9" x14ac:dyDescent="0.2">
      <c r="B84" s="244"/>
      <c r="C84" s="9" t="s">
        <v>176</v>
      </c>
      <c r="D84" s="10" t="s">
        <v>177</v>
      </c>
      <c r="E84" s="6" t="s">
        <v>141</v>
      </c>
      <c r="F84" s="212"/>
      <c r="G84" s="212"/>
      <c r="H84" s="213"/>
      <c r="I84" s="214"/>
    </row>
    <row r="85" spans="2:9" x14ac:dyDescent="0.2">
      <c r="B85" s="244"/>
      <c r="C85" s="9" t="s">
        <v>178</v>
      </c>
      <c r="D85" s="10" t="s">
        <v>179</v>
      </c>
      <c r="E85" s="6" t="s">
        <v>129</v>
      </c>
      <c r="F85" s="212"/>
      <c r="G85" s="212"/>
      <c r="H85" s="213"/>
      <c r="I85" s="214"/>
    </row>
    <row r="86" spans="2:9" x14ac:dyDescent="0.2">
      <c r="B86" s="244"/>
      <c r="C86" s="9" t="s">
        <v>180</v>
      </c>
      <c r="D86" s="40" t="s">
        <v>181</v>
      </c>
      <c r="E86" s="6" t="s">
        <v>182</v>
      </c>
      <c r="F86" s="197"/>
      <c r="G86" s="197"/>
      <c r="H86" s="198">
        <v>0</v>
      </c>
      <c r="I86" s="199"/>
    </row>
    <row r="87" spans="2:9" x14ac:dyDescent="0.2">
      <c r="B87" s="244"/>
      <c r="C87" s="9" t="s">
        <v>183</v>
      </c>
      <c r="D87" s="10" t="s">
        <v>184</v>
      </c>
      <c r="E87" s="6" t="s">
        <v>126</v>
      </c>
      <c r="F87" s="185"/>
      <c r="G87" s="185"/>
      <c r="H87" s="186">
        <v>0</v>
      </c>
      <c r="I87" s="187"/>
    </row>
    <row r="88" spans="2:9" x14ac:dyDescent="0.2">
      <c r="B88" s="244"/>
      <c r="C88" s="9" t="s">
        <v>36</v>
      </c>
      <c r="D88" s="10" t="s">
        <v>185</v>
      </c>
      <c r="E88" s="6" t="s">
        <v>13</v>
      </c>
      <c r="F88" s="221"/>
      <c r="G88" s="221"/>
      <c r="H88" s="222">
        <v>0</v>
      </c>
      <c r="I88" s="223"/>
    </row>
    <row r="89" spans="2:9" x14ac:dyDescent="0.2">
      <c r="B89" s="244"/>
      <c r="C89" s="9" t="s">
        <v>186</v>
      </c>
      <c r="D89" s="10" t="s">
        <v>187</v>
      </c>
      <c r="E89" s="6" t="s">
        <v>159</v>
      </c>
      <c r="F89" s="212"/>
      <c r="G89" s="212"/>
      <c r="H89" s="213"/>
      <c r="I89" s="214"/>
    </row>
    <row r="90" spans="2:9" x14ac:dyDescent="0.2">
      <c r="B90" s="244"/>
      <c r="C90" s="9" t="s">
        <v>188</v>
      </c>
      <c r="D90" s="10" t="s">
        <v>189</v>
      </c>
      <c r="E90" s="6" t="s">
        <v>159</v>
      </c>
      <c r="F90" s="212">
        <v>550</v>
      </c>
      <c r="G90" s="212"/>
      <c r="H90" s="213">
        <v>550</v>
      </c>
      <c r="I90" s="214"/>
    </row>
    <row r="91" spans="2:9" x14ac:dyDescent="0.2">
      <c r="B91" s="244"/>
      <c r="C91" s="9" t="s">
        <v>190</v>
      </c>
      <c r="D91" s="10" t="s">
        <v>191</v>
      </c>
      <c r="E91" s="6" t="s">
        <v>159</v>
      </c>
      <c r="F91" s="212">
        <v>290</v>
      </c>
      <c r="G91" s="212"/>
      <c r="H91" s="213">
        <v>290</v>
      </c>
      <c r="I91" s="214"/>
    </row>
    <row r="92" spans="2:9" x14ac:dyDescent="0.2">
      <c r="B92" s="244"/>
      <c r="C92" s="9" t="s">
        <v>192</v>
      </c>
      <c r="D92" s="10" t="s">
        <v>193</v>
      </c>
      <c r="E92" s="6" t="s">
        <v>159</v>
      </c>
      <c r="F92" s="212">
        <v>30</v>
      </c>
      <c r="G92" s="212"/>
      <c r="H92" s="213">
        <v>30</v>
      </c>
      <c r="I92" s="214"/>
    </row>
    <row r="93" spans="2:9" x14ac:dyDescent="0.2">
      <c r="B93" s="244"/>
      <c r="C93" s="9" t="s">
        <v>194</v>
      </c>
      <c r="D93" s="10" t="s">
        <v>195</v>
      </c>
      <c r="E93" s="6" t="s">
        <v>126</v>
      </c>
      <c r="F93" s="185">
        <v>0</v>
      </c>
      <c r="G93" s="185"/>
      <c r="H93" s="186">
        <v>0</v>
      </c>
      <c r="I93" s="187"/>
    </row>
    <row r="94" spans="2:9" x14ac:dyDescent="0.2">
      <c r="B94" s="244"/>
      <c r="C94" s="9" t="s">
        <v>196</v>
      </c>
      <c r="D94" s="40" t="s">
        <v>197</v>
      </c>
      <c r="E94" s="6" t="s">
        <v>126</v>
      </c>
      <c r="F94" s="185">
        <v>0</v>
      </c>
      <c r="G94" s="185">
        <v>0</v>
      </c>
      <c r="H94" s="186">
        <v>0</v>
      </c>
      <c r="I94" s="187"/>
    </row>
    <row r="95" spans="2:9" x14ac:dyDescent="0.2">
      <c r="B95" s="244"/>
      <c r="C95" s="9" t="s">
        <v>198</v>
      </c>
      <c r="D95" s="40" t="s">
        <v>199</v>
      </c>
      <c r="E95" s="6" t="s">
        <v>126</v>
      </c>
      <c r="F95" s="197">
        <v>102.1533672856399</v>
      </c>
      <c r="G95" s="197">
        <v>102.1326</v>
      </c>
      <c r="H95" s="198">
        <v>102.1533672856399</v>
      </c>
      <c r="I95" s="199">
        <v>102.1533673</v>
      </c>
    </row>
    <row r="96" spans="2:9" x14ac:dyDescent="0.2">
      <c r="B96" s="244"/>
      <c r="C96" s="9" t="s">
        <v>200</v>
      </c>
      <c r="D96" s="10" t="s">
        <v>201</v>
      </c>
      <c r="E96" s="6" t="s">
        <v>126</v>
      </c>
      <c r="F96" s="197">
        <v>132.79937747133189</v>
      </c>
      <c r="G96" s="197">
        <v>132.87988799999999</v>
      </c>
      <c r="H96" s="198">
        <v>132.79937747133189</v>
      </c>
      <c r="I96" s="199">
        <v>132.79937749999999</v>
      </c>
    </row>
    <row r="97" spans="2:9" x14ac:dyDescent="0.2">
      <c r="B97" s="244"/>
      <c r="C97" s="9" t="s">
        <v>202</v>
      </c>
      <c r="D97" s="10" t="s">
        <v>203</v>
      </c>
      <c r="E97" s="6" t="s">
        <v>136</v>
      </c>
      <c r="F97" s="212">
        <v>1.3</v>
      </c>
      <c r="G97" s="197">
        <v>1.301052632</v>
      </c>
      <c r="H97" s="213">
        <v>1.3</v>
      </c>
      <c r="I97" s="214">
        <v>1.3</v>
      </c>
    </row>
    <row r="98" spans="2:9" x14ac:dyDescent="0.2">
      <c r="B98" s="244"/>
      <c r="C98" s="9" t="s">
        <v>204</v>
      </c>
      <c r="D98" s="10" t="s">
        <v>205</v>
      </c>
      <c r="E98" s="6" t="s">
        <v>129</v>
      </c>
      <c r="F98" s="206">
        <v>737774.31928517704</v>
      </c>
      <c r="G98" s="206">
        <v>738221.6</v>
      </c>
      <c r="H98" s="207">
        <v>737774.31928517704</v>
      </c>
      <c r="I98" s="208">
        <v>737774.31929999997</v>
      </c>
    </row>
    <row r="99" spans="2:9" x14ac:dyDescent="0.2">
      <c r="B99" s="244"/>
      <c r="C99" s="9" t="s">
        <v>206</v>
      </c>
      <c r="D99" s="10" t="s">
        <v>207</v>
      </c>
      <c r="E99" s="6" t="s">
        <v>129</v>
      </c>
      <c r="F99" s="206">
        <v>2766653.697319414</v>
      </c>
      <c r="G99" s="206">
        <v>2768331</v>
      </c>
      <c r="H99" s="207">
        <v>2766653.697319414</v>
      </c>
      <c r="I99" s="208">
        <v>2766653.6970000002</v>
      </c>
    </row>
    <row r="100" spans="2:9" x14ac:dyDescent="0.2">
      <c r="B100" s="244"/>
      <c r="C100" s="9" t="s">
        <v>208</v>
      </c>
      <c r="D100" s="10" t="s">
        <v>209</v>
      </c>
      <c r="E100" s="6" t="s">
        <v>136</v>
      </c>
      <c r="F100" s="212">
        <v>0.4</v>
      </c>
      <c r="G100" s="212">
        <v>0.4</v>
      </c>
      <c r="H100" s="213">
        <v>0.4</v>
      </c>
      <c r="I100" s="214">
        <v>0.4</v>
      </c>
    </row>
    <row r="101" spans="2:9" x14ac:dyDescent="0.2">
      <c r="B101" s="244"/>
      <c r="C101" s="9" t="s">
        <v>210</v>
      </c>
      <c r="D101" s="10" t="s">
        <v>211</v>
      </c>
      <c r="E101" s="6" t="s">
        <v>212</v>
      </c>
      <c r="F101" s="212">
        <v>37</v>
      </c>
      <c r="G101" s="212">
        <v>37</v>
      </c>
      <c r="H101" s="213">
        <v>37</v>
      </c>
      <c r="I101" s="214">
        <v>37</v>
      </c>
    </row>
    <row r="102" spans="2:9" x14ac:dyDescent="0.2">
      <c r="B102" s="244"/>
      <c r="C102" s="9" t="s">
        <v>213</v>
      </c>
      <c r="D102" s="10" t="s">
        <v>214</v>
      </c>
      <c r="E102" s="6" t="s">
        <v>212</v>
      </c>
      <c r="F102" s="212">
        <v>0</v>
      </c>
      <c r="G102" s="212">
        <v>0</v>
      </c>
      <c r="H102" s="213">
        <v>0</v>
      </c>
      <c r="I102" s="214">
        <v>0</v>
      </c>
    </row>
    <row r="103" spans="2:9" x14ac:dyDescent="0.2">
      <c r="B103" s="244"/>
      <c r="C103" s="9" t="s">
        <v>215</v>
      </c>
      <c r="D103" s="10" t="s">
        <v>216</v>
      </c>
      <c r="E103" s="6" t="s">
        <v>13</v>
      </c>
      <c r="F103" s="218">
        <v>95</v>
      </c>
      <c r="G103" s="218">
        <v>0.95</v>
      </c>
      <c r="H103" s="219">
        <v>95</v>
      </c>
      <c r="I103" s="220">
        <v>0.95</v>
      </c>
    </row>
    <row r="104" spans="2:9" x14ac:dyDescent="0.2">
      <c r="B104" s="244"/>
      <c r="C104" s="9" t="s">
        <v>217</v>
      </c>
      <c r="D104" s="10" t="s">
        <v>218</v>
      </c>
      <c r="E104" s="6" t="s">
        <v>126</v>
      </c>
      <c r="F104" s="212">
        <v>50</v>
      </c>
      <c r="G104" s="212">
        <v>50</v>
      </c>
      <c r="H104" s="213">
        <v>50</v>
      </c>
      <c r="I104" s="214">
        <v>50</v>
      </c>
    </row>
    <row r="105" spans="2:9" x14ac:dyDescent="0.2">
      <c r="B105" s="244"/>
      <c r="C105" s="9" t="s">
        <v>219</v>
      </c>
      <c r="D105" s="10" t="s">
        <v>220</v>
      </c>
      <c r="E105" s="6" t="s">
        <v>173</v>
      </c>
      <c r="F105" s="197">
        <v>4.2568999999999999</v>
      </c>
      <c r="G105" s="197"/>
      <c r="H105" s="198">
        <v>4.4512885249878842</v>
      </c>
      <c r="I105" s="199">
        <v>3.5610308019999999</v>
      </c>
    </row>
    <row r="106" spans="2:9" x14ac:dyDescent="0.2">
      <c r="B106" s="244"/>
      <c r="C106" s="9" t="s">
        <v>221</v>
      </c>
      <c r="D106" s="40" t="s">
        <v>222</v>
      </c>
      <c r="E106" s="6" t="s">
        <v>126</v>
      </c>
      <c r="F106" s="197">
        <v>32.673338521045203</v>
      </c>
      <c r="G106" s="197">
        <v>32.700000000000003</v>
      </c>
      <c r="H106" s="198">
        <v>32.673338521045203</v>
      </c>
      <c r="I106" s="199">
        <v>32.6733385</v>
      </c>
    </row>
    <row r="107" spans="2:9" x14ac:dyDescent="0.2">
      <c r="B107" s="244"/>
      <c r="C107" s="9" t="s">
        <v>223</v>
      </c>
      <c r="D107" s="40" t="s">
        <v>224</v>
      </c>
      <c r="E107" s="6" t="s">
        <v>182</v>
      </c>
      <c r="F107" s="197">
        <v>146.52000000000001</v>
      </c>
      <c r="G107" s="197">
        <v>145.4</v>
      </c>
      <c r="H107" s="198">
        <v>145.4384568317731</v>
      </c>
      <c r="I107" s="199">
        <v>145.438456</v>
      </c>
    </row>
    <row r="108" spans="2:9" x14ac:dyDescent="0.2">
      <c r="B108" s="244"/>
      <c r="C108" s="9"/>
      <c r="D108" s="10" t="s">
        <v>225</v>
      </c>
      <c r="E108" s="6"/>
      <c r="F108" s="224">
        <v>153</v>
      </c>
      <c r="G108" s="224">
        <v>256.1753425</v>
      </c>
      <c r="H108" s="198">
        <v>240.095471641746</v>
      </c>
      <c r="I108" s="199"/>
    </row>
    <row r="109" spans="2:9" x14ac:dyDescent="0.2">
      <c r="B109" s="244"/>
      <c r="C109" s="9" t="s">
        <v>226</v>
      </c>
      <c r="D109" s="10" t="s">
        <v>227</v>
      </c>
      <c r="E109" s="6" t="s">
        <v>136</v>
      </c>
      <c r="F109" s="225"/>
      <c r="G109" s="225">
        <v>2000</v>
      </c>
      <c r="H109" s="213">
        <v>2000</v>
      </c>
      <c r="I109" s="214">
        <v>2000</v>
      </c>
    </row>
    <row r="110" spans="2:9" ht="16" thickBot="1" x14ac:dyDescent="0.25">
      <c r="B110" s="237"/>
      <c r="C110" s="24" t="s">
        <v>228</v>
      </c>
      <c r="D110" s="15" t="s">
        <v>229</v>
      </c>
      <c r="E110" s="25" t="s">
        <v>136</v>
      </c>
      <c r="F110" s="226">
        <v>1</v>
      </c>
      <c r="G110" s="226">
        <v>3</v>
      </c>
      <c r="H110" s="227">
        <v>2</v>
      </c>
      <c r="I110" s="228">
        <v>3</v>
      </c>
    </row>
    <row r="111" spans="2:9" ht="16" x14ac:dyDescent="0.2">
      <c r="D111" s="1" t="s">
        <v>230</v>
      </c>
      <c r="G111" s="71"/>
      <c r="I111" s="41">
        <v>0.84</v>
      </c>
    </row>
    <row r="115" spans="2:14" s="1" customFormat="1" x14ac:dyDescent="0.2">
      <c r="B115"/>
      <c r="F115" s="37"/>
      <c r="G115" s="37"/>
      <c r="H115" s="37"/>
      <c r="I115" s="38"/>
      <c r="J115"/>
      <c r="K115"/>
      <c r="L115"/>
      <c r="M115"/>
      <c r="N115"/>
    </row>
    <row r="116" spans="2:14" s="1" customFormat="1" x14ac:dyDescent="0.2">
      <c r="B116"/>
      <c r="F116" s="37"/>
      <c r="G116" s="37"/>
      <c r="H116" s="37"/>
      <c r="I116" s="38"/>
      <c r="J116"/>
      <c r="K116"/>
      <c r="L116"/>
      <c r="M116"/>
      <c r="N116"/>
    </row>
    <row r="117" spans="2:14" s="1" customFormat="1" x14ac:dyDescent="0.2">
      <c r="B117"/>
      <c r="F117" s="37"/>
      <c r="G117" s="37"/>
      <c r="H117" s="37"/>
      <c r="I117" s="38"/>
      <c r="J117"/>
      <c r="K117"/>
      <c r="L117"/>
      <c r="M117"/>
      <c r="N117"/>
    </row>
    <row r="118" spans="2:14" s="1" customFormat="1" x14ac:dyDescent="0.2">
      <c r="B118"/>
      <c r="F118" s="37"/>
      <c r="G118" s="37"/>
      <c r="H118" s="37"/>
      <c r="I118" s="38"/>
      <c r="J118"/>
      <c r="K118"/>
      <c r="L118"/>
      <c r="M118"/>
      <c r="N118"/>
    </row>
    <row r="119" spans="2:14" s="1" customFormat="1" x14ac:dyDescent="0.2">
      <c r="B119"/>
      <c r="F119" s="37"/>
      <c r="G119" s="37"/>
      <c r="H119" s="37"/>
      <c r="I119" s="38"/>
      <c r="J119"/>
      <c r="K119"/>
      <c r="L119"/>
      <c r="M119"/>
      <c r="N119"/>
    </row>
    <row r="121" spans="2:14" s="1" customFormat="1" x14ac:dyDescent="0.2">
      <c r="B121"/>
      <c r="F121" s="37"/>
      <c r="G121" s="37"/>
      <c r="H121" s="37"/>
      <c r="I121" s="39"/>
      <c r="J121"/>
      <c r="K121"/>
      <c r="L121"/>
      <c r="M121"/>
      <c r="N121"/>
    </row>
    <row r="127" spans="2:14" s="1" customFormat="1" x14ac:dyDescent="0.2">
      <c r="B127"/>
      <c r="F127" s="37"/>
      <c r="G127" s="37"/>
      <c r="H127" s="37"/>
      <c r="I127" s="38"/>
      <c r="J127"/>
      <c r="K127"/>
      <c r="L127"/>
      <c r="M127"/>
      <c r="N127"/>
    </row>
    <row r="133" spans="2:14" s="1" customFormat="1" x14ac:dyDescent="0.2">
      <c r="B133"/>
      <c r="F133" s="37"/>
      <c r="G133" s="37"/>
      <c r="H133" s="37"/>
      <c r="I133" s="38"/>
      <c r="J133"/>
      <c r="K133"/>
      <c r="L133"/>
      <c r="M133"/>
      <c r="N133"/>
    </row>
    <row r="134" spans="2:14" s="1" customFormat="1" x14ac:dyDescent="0.2">
      <c r="B134"/>
      <c r="F134" s="37"/>
      <c r="G134" s="37"/>
      <c r="H134" s="37"/>
      <c r="I134" s="38"/>
      <c r="J134"/>
      <c r="K134"/>
      <c r="L134"/>
      <c r="M134"/>
      <c r="N134"/>
    </row>
    <row r="135" spans="2:14" s="1" customFormat="1" x14ac:dyDescent="0.2">
      <c r="B135"/>
      <c r="F135" s="37"/>
      <c r="G135" s="37"/>
      <c r="H135" s="37"/>
      <c r="I135" s="38"/>
      <c r="J135"/>
      <c r="K135"/>
      <c r="L135"/>
      <c r="M135"/>
      <c r="N135"/>
    </row>
    <row r="136" spans="2:14" s="1" customFormat="1" x14ac:dyDescent="0.2">
      <c r="B136"/>
      <c r="F136" s="37"/>
      <c r="G136" s="37"/>
      <c r="H136" s="37"/>
      <c r="I136" s="38"/>
      <c r="J136"/>
      <c r="K136"/>
      <c r="L136"/>
      <c r="M136"/>
      <c r="N136"/>
    </row>
    <row r="137" spans="2:14" s="1" customFormat="1" x14ac:dyDescent="0.2">
      <c r="B137"/>
      <c r="F137" s="37"/>
      <c r="G137" s="37"/>
      <c r="H137" s="37"/>
      <c r="I137" s="38"/>
      <c r="J137"/>
      <c r="K137"/>
      <c r="L137"/>
      <c r="M137"/>
      <c r="N137"/>
    </row>
    <row r="138" spans="2:14" s="1" customFormat="1" x14ac:dyDescent="0.2">
      <c r="B138"/>
      <c r="F138" s="37"/>
      <c r="G138" s="37"/>
      <c r="H138" s="37"/>
      <c r="I138" s="38"/>
      <c r="J138"/>
      <c r="K138"/>
      <c r="L138"/>
      <c r="M138"/>
      <c r="N138"/>
    </row>
  </sheetData>
  <mergeCells count="8">
    <mergeCell ref="E2:E3"/>
    <mergeCell ref="F2:I2"/>
    <mergeCell ref="B4:B30"/>
    <mergeCell ref="B31:B60"/>
    <mergeCell ref="B61:B110"/>
    <mergeCell ref="B2:B3"/>
    <mergeCell ref="C2:C3"/>
    <mergeCell ref="D2:D3"/>
  </mergeCells>
  <pageMargins left="0.7" right="0.7" top="0.75" bottom="0.75" header="0.3" footer="0.3"/>
  <pageSetup orientation="portrait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90D4C-C80C-964C-8F35-003CEC108950}">
  <dimension ref="B1:N138"/>
  <sheetViews>
    <sheetView zoomScale="85" zoomScaleNormal="85" workbookViewId="0">
      <selection activeCell="J1" sqref="J1:M1048576"/>
    </sheetView>
  </sheetViews>
  <sheetFormatPr baseColWidth="10" defaultColWidth="8.6640625" defaultRowHeight="15" x14ac:dyDescent="0.2"/>
  <cols>
    <col min="2" max="2" width="16.6640625" customWidth="1"/>
    <col min="3" max="3" width="20.33203125" style="1" bestFit="1" customWidth="1"/>
    <col min="4" max="4" width="43" style="1" bestFit="1" customWidth="1"/>
    <col min="5" max="5" width="12.5" style="1" customWidth="1"/>
    <col min="6" max="6" width="17.5" style="37" bestFit="1" customWidth="1"/>
    <col min="7" max="7" width="19.33203125" style="37" bestFit="1" customWidth="1"/>
    <col min="8" max="8" width="14.6640625" style="37" bestFit="1" customWidth="1"/>
    <col min="9" max="9" width="16.33203125" style="38" bestFit="1" customWidth="1"/>
  </cols>
  <sheetData>
    <row r="1" spans="2:9" ht="16" thickBot="1" x14ac:dyDescent="0.25">
      <c r="F1"/>
      <c r="G1"/>
      <c r="H1"/>
      <c r="I1" s="1"/>
    </row>
    <row r="2" spans="2:9" ht="16" thickBot="1" x14ac:dyDescent="0.25">
      <c r="B2" s="245" t="s">
        <v>0</v>
      </c>
      <c r="C2" s="247" t="s">
        <v>1</v>
      </c>
      <c r="D2" s="249" t="s">
        <v>2</v>
      </c>
      <c r="E2" s="236" t="s">
        <v>3</v>
      </c>
      <c r="F2" s="238" t="s">
        <v>4</v>
      </c>
      <c r="G2" s="239"/>
      <c r="H2" s="239"/>
      <c r="I2" s="240"/>
    </row>
    <row r="3" spans="2:9" s="1" customFormat="1" ht="16" thickBot="1" x14ac:dyDescent="0.25">
      <c r="B3" s="246"/>
      <c r="C3" s="248"/>
      <c r="D3" s="250"/>
      <c r="E3" s="237"/>
      <c r="F3" s="62" t="s">
        <v>237</v>
      </c>
      <c r="G3" s="66" t="s">
        <v>238</v>
      </c>
      <c r="H3" s="147" t="s">
        <v>239</v>
      </c>
      <c r="I3" s="148" t="s">
        <v>240</v>
      </c>
    </row>
    <row r="4" spans="2:9" x14ac:dyDescent="0.2">
      <c r="B4" s="241" t="s">
        <v>5</v>
      </c>
      <c r="C4" s="4" t="s">
        <v>6</v>
      </c>
      <c r="D4" s="5" t="s">
        <v>7</v>
      </c>
      <c r="E4" s="6" t="s">
        <v>8</v>
      </c>
      <c r="F4" s="176">
        <v>244.39769292828001</v>
      </c>
      <c r="G4" s="176">
        <v>222.2060329</v>
      </c>
      <c r="H4" s="177">
        <v>241.27403260454551</v>
      </c>
      <c r="I4" s="178">
        <v>228.1172383</v>
      </c>
    </row>
    <row r="5" spans="2:9" x14ac:dyDescent="0.2">
      <c r="B5" s="242"/>
      <c r="C5" s="9"/>
      <c r="D5" s="10" t="s">
        <v>9</v>
      </c>
      <c r="E5" s="6" t="s">
        <v>10</v>
      </c>
      <c r="F5" s="179"/>
      <c r="G5" s="179" t="s">
        <v>231</v>
      </c>
      <c r="H5" s="180">
        <v>311.94727190740122</v>
      </c>
      <c r="I5" s="181">
        <v>335.18751049999997</v>
      </c>
    </row>
    <row r="6" spans="2:9" x14ac:dyDescent="0.2">
      <c r="B6" s="242"/>
      <c r="C6" s="9" t="s">
        <v>11</v>
      </c>
      <c r="D6" s="10" t="s">
        <v>12</v>
      </c>
      <c r="E6" s="6" t="s">
        <v>13</v>
      </c>
      <c r="F6" s="182">
        <v>0.70351731154907804</v>
      </c>
      <c r="G6" s="182">
        <v>0.63919700499999998</v>
      </c>
      <c r="H6" s="183">
        <v>0.69452331360604647</v>
      </c>
      <c r="I6" s="184">
        <v>0.65665278689999995</v>
      </c>
    </row>
    <row r="7" spans="2:9" x14ac:dyDescent="0.2">
      <c r="B7" s="242"/>
      <c r="C7" s="9" t="s">
        <v>14</v>
      </c>
      <c r="D7" s="10" t="s">
        <v>15</v>
      </c>
      <c r="E7" s="6" t="s">
        <v>16</v>
      </c>
      <c r="F7" s="185">
        <v>-92.350129136793299</v>
      </c>
      <c r="G7" s="185">
        <v>-109.4353431</v>
      </c>
      <c r="H7" s="186">
        <v>-90.961120858112494</v>
      </c>
      <c r="I7" s="187">
        <v>-103.75785740000001</v>
      </c>
    </row>
    <row r="8" spans="2:9" x14ac:dyDescent="0.2">
      <c r="B8" s="242"/>
      <c r="C8" s="9" t="s">
        <v>17</v>
      </c>
      <c r="D8" s="10" t="s">
        <v>18</v>
      </c>
      <c r="E8" s="6" t="s">
        <v>19</v>
      </c>
      <c r="F8" s="188"/>
      <c r="G8" s="188" t="s">
        <v>231</v>
      </c>
      <c r="H8" s="189">
        <v>0</v>
      </c>
      <c r="I8" s="190"/>
    </row>
    <row r="9" spans="2:9" x14ac:dyDescent="0.2">
      <c r="B9" s="242"/>
      <c r="C9" s="9"/>
      <c r="D9" s="10" t="s">
        <v>20</v>
      </c>
      <c r="E9" s="6" t="s">
        <v>19</v>
      </c>
      <c r="F9" s="179">
        <v>74.9919846754769</v>
      </c>
      <c r="G9" s="179">
        <v>81.603694989999994</v>
      </c>
      <c r="H9" s="180">
        <v>74.747133820762045</v>
      </c>
      <c r="I9" s="181">
        <v>80.056700000000006</v>
      </c>
    </row>
    <row r="10" spans="2:9" x14ac:dyDescent="0.2">
      <c r="B10" s="242"/>
      <c r="C10" s="9" t="s">
        <v>21</v>
      </c>
      <c r="D10" s="10" t="s">
        <v>22</v>
      </c>
      <c r="E10" s="6" t="s">
        <v>16</v>
      </c>
      <c r="F10" s="179">
        <v>244.42852710363101</v>
      </c>
      <c r="G10" s="179">
        <v>241.3215759</v>
      </c>
      <c r="H10" s="180">
        <v>240.17951959327479</v>
      </c>
      <c r="I10" s="181">
        <v>243.8223811</v>
      </c>
    </row>
    <row r="11" spans="2:9" x14ac:dyDescent="0.2">
      <c r="B11" s="242"/>
      <c r="C11" s="9" t="s">
        <v>23</v>
      </c>
      <c r="D11" s="10" t="s">
        <v>24</v>
      </c>
      <c r="E11" s="6" t="s">
        <v>25</v>
      </c>
      <c r="F11" s="191">
        <f>2.02955761504731*1000</f>
        <v>2029.55761504731</v>
      </c>
      <c r="G11" s="191">
        <v>2041.692</v>
      </c>
      <c r="H11" s="192">
        <v>2019.5525275451421</v>
      </c>
      <c r="I11" s="193">
        <v>2004.4312950000001</v>
      </c>
    </row>
    <row r="12" spans="2:9" x14ac:dyDescent="0.2">
      <c r="B12" s="242"/>
      <c r="C12" s="9"/>
      <c r="D12" s="10" t="s">
        <v>26</v>
      </c>
      <c r="E12" s="6" t="s">
        <v>25</v>
      </c>
      <c r="F12" s="191">
        <f>12.1700309067452*1000</f>
        <v>12170.0309067452</v>
      </c>
      <c r="G12" s="191">
        <v>10835.766890000001</v>
      </c>
      <c r="H12" s="192">
        <v>11969.32321972323</v>
      </c>
      <c r="I12" s="193">
        <v>11343.82848</v>
      </c>
    </row>
    <row r="13" spans="2:9" x14ac:dyDescent="0.2">
      <c r="B13" s="242"/>
      <c r="C13" s="9" t="s">
        <v>27</v>
      </c>
      <c r="D13" s="10" t="s">
        <v>28</v>
      </c>
      <c r="E13" s="6" t="s">
        <v>13</v>
      </c>
      <c r="F13" s="182"/>
      <c r="G13" s="182" t="s">
        <v>231</v>
      </c>
      <c r="H13" s="183">
        <v>0</v>
      </c>
      <c r="I13" s="184"/>
    </row>
    <row r="14" spans="2:9" x14ac:dyDescent="0.2">
      <c r="B14" s="242"/>
      <c r="C14" s="9" t="s">
        <v>29</v>
      </c>
      <c r="D14" s="10" t="s">
        <v>30</v>
      </c>
      <c r="E14" s="6" t="s">
        <v>13</v>
      </c>
      <c r="F14" s="182"/>
      <c r="G14" s="182" t="s">
        <v>231</v>
      </c>
      <c r="H14" s="183">
        <v>0</v>
      </c>
      <c r="I14" s="184">
        <v>0</v>
      </c>
    </row>
    <row r="15" spans="2:9" x14ac:dyDescent="0.2">
      <c r="B15" s="242"/>
      <c r="C15" s="9" t="s">
        <v>31</v>
      </c>
      <c r="D15" s="10" t="s">
        <v>32</v>
      </c>
      <c r="E15" s="6" t="s">
        <v>13</v>
      </c>
      <c r="F15" s="182"/>
      <c r="G15" s="182" t="s">
        <v>231</v>
      </c>
      <c r="H15" s="183">
        <v>0</v>
      </c>
      <c r="I15" s="184">
        <v>0</v>
      </c>
    </row>
    <row r="16" spans="2:9" x14ac:dyDescent="0.2">
      <c r="B16" s="242"/>
      <c r="C16" s="9" t="s">
        <v>33</v>
      </c>
      <c r="D16" s="10" t="s">
        <v>34</v>
      </c>
      <c r="E16" s="6" t="s">
        <v>35</v>
      </c>
      <c r="F16" s="191">
        <v>2171.9636447635398</v>
      </c>
      <c r="G16" s="191">
        <v>2105.4799149999999</v>
      </c>
      <c r="H16" s="192">
        <v>2049.2513279063078</v>
      </c>
      <c r="I16" s="193">
        <v>2104.7385479999998</v>
      </c>
    </row>
    <row r="17" spans="2:9" x14ac:dyDescent="0.2">
      <c r="B17" s="242"/>
      <c r="C17" s="9" t="s">
        <v>36</v>
      </c>
      <c r="D17" s="10" t="s">
        <v>37</v>
      </c>
      <c r="E17" s="6" t="s">
        <v>13</v>
      </c>
      <c r="F17" s="182">
        <v>0.38455318387999998</v>
      </c>
      <c r="G17" s="182">
        <v>0.38608480499999998</v>
      </c>
      <c r="H17" s="183">
        <v>0.38967729110735538</v>
      </c>
      <c r="I17" s="184">
        <v>0.38456622200000001</v>
      </c>
    </row>
    <row r="18" spans="2:9" x14ac:dyDescent="0.2">
      <c r="B18" s="242"/>
      <c r="C18" s="9" t="s">
        <v>38</v>
      </c>
      <c r="D18" s="10" t="s">
        <v>39</v>
      </c>
      <c r="E18" s="6" t="s">
        <v>13</v>
      </c>
      <c r="F18" s="182">
        <v>0.51747041893648105</v>
      </c>
      <c r="G18" s="182">
        <v>0.53164463200000001</v>
      </c>
      <c r="H18" s="183">
        <v>0.51518269014625639</v>
      </c>
      <c r="I18" s="184">
        <v>0.50900609249999995</v>
      </c>
    </row>
    <row r="19" spans="2:9" x14ac:dyDescent="0.2">
      <c r="B19" s="242"/>
      <c r="C19" s="9" t="s">
        <v>40</v>
      </c>
      <c r="D19" s="10" t="s">
        <v>41</v>
      </c>
      <c r="E19" s="6" t="s">
        <v>13</v>
      </c>
      <c r="F19" s="182">
        <v>0.48252958106351801</v>
      </c>
      <c r="G19" s="182">
        <v>0.46835536799999999</v>
      </c>
      <c r="H19" s="183">
        <v>0.48481730985373928</v>
      </c>
      <c r="I19" s="184">
        <v>0.49099390749999999</v>
      </c>
    </row>
    <row r="20" spans="2:9" x14ac:dyDescent="0.2">
      <c r="B20" s="242"/>
      <c r="C20" s="9" t="s">
        <v>42</v>
      </c>
      <c r="D20" s="10" t="s">
        <v>43</v>
      </c>
      <c r="E20" s="6" t="s">
        <v>13</v>
      </c>
      <c r="F20" s="182">
        <v>0</v>
      </c>
      <c r="G20" s="182">
        <v>0</v>
      </c>
      <c r="H20" s="183">
        <v>0</v>
      </c>
      <c r="I20" s="184"/>
    </row>
    <row r="21" spans="2:9" x14ac:dyDescent="0.2">
      <c r="B21" s="242"/>
      <c r="C21" s="9"/>
      <c r="D21" s="10" t="s">
        <v>44</v>
      </c>
      <c r="E21" s="6" t="s">
        <v>8</v>
      </c>
      <c r="F21" s="179">
        <v>126.468576546706</v>
      </c>
      <c r="G21" s="179">
        <v>118.13464449999999</v>
      </c>
      <c r="H21" s="180">
        <v>124.3002051796453</v>
      </c>
      <c r="I21" s="181">
        <v>116.1130641</v>
      </c>
    </row>
    <row r="22" spans="2:9" x14ac:dyDescent="0.2">
      <c r="B22" s="242"/>
      <c r="C22" s="9"/>
      <c r="D22" s="10" t="s">
        <v>45</v>
      </c>
      <c r="E22" s="6" t="s">
        <v>8</v>
      </c>
      <c r="F22" s="179">
        <v>117.929116381573</v>
      </c>
      <c r="G22" s="179">
        <v>104.0713884</v>
      </c>
      <c r="H22" s="180">
        <v>116.9738274248991</v>
      </c>
      <c r="I22" s="181">
        <v>112.00417419999999</v>
      </c>
    </row>
    <row r="23" spans="2:9" x14ac:dyDescent="0.2">
      <c r="B23" s="242"/>
      <c r="C23" s="9"/>
      <c r="D23" s="10" t="s">
        <v>46</v>
      </c>
      <c r="E23" s="6" t="s">
        <v>8</v>
      </c>
      <c r="F23" s="179">
        <v>0</v>
      </c>
      <c r="G23" s="179">
        <v>0</v>
      </c>
      <c r="H23" s="180">
        <v>0</v>
      </c>
      <c r="I23" s="181"/>
    </row>
    <row r="24" spans="2:9" x14ac:dyDescent="0.2">
      <c r="B24" s="242"/>
      <c r="C24" s="9" t="s">
        <v>47</v>
      </c>
      <c r="D24" s="10" t="s">
        <v>48</v>
      </c>
      <c r="E24" s="6" t="s">
        <v>8</v>
      </c>
      <c r="F24" s="179">
        <v>26.4381060913664</v>
      </c>
      <c r="G24" s="179">
        <v>25.731334619999998</v>
      </c>
      <c r="H24" s="180">
        <v>18.537625325483191</v>
      </c>
      <c r="I24" s="181">
        <v>27.58499514</v>
      </c>
    </row>
    <row r="25" spans="2:9" x14ac:dyDescent="0.2">
      <c r="B25" s="242"/>
      <c r="C25" s="9" t="s">
        <v>49</v>
      </c>
      <c r="D25" s="10" t="s">
        <v>50</v>
      </c>
      <c r="E25" s="6" t="s">
        <v>8</v>
      </c>
      <c r="F25" s="179">
        <v>0</v>
      </c>
      <c r="G25" s="179" t="s">
        <v>231</v>
      </c>
      <c r="H25" s="180">
        <v>0</v>
      </c>
      <c r="I25" s="181"/>
    </row>
    <row r="26" spans="2:9" x14ac:dyDescent="0.2">
      <c r="B26" s="242"/>
      <c r="C26" s="9" t="s">
        <v>51</v>
      </c>
      <c r="D26" s="10" t="s">
        <v>52</v>
      </c>
      <c r="E26" s="6" t="s">
        <v>8</v>
      </c>
      <c r="F26" s="179">
        <v>0</v>
      </c>
      <c r="G26" s="179">
        <v>0</v>
      </c>
      <c r="H26" s="180">
        <v>0</v>
      </c>
      <c r="I26" s="181"/>
    </row>
    <row r="27" spans="2:9" x14ac:dyDescent="0.2">
      <c r="B27" s="242"/>
      <c r="C27" s="9" t="s">
        <v>53</v>
      </c>
      <c r="D27" s="10" t="s">
        <v>54</v>
      </c>
      <c r="E27" s="6" t="s">
        <v>13</v>
      </c>
      <c r="F27" s="182">
        <f>H27/H4*F4</f>
        <v>0.30237562400052842</v>
      </c>
      <c r="G27" s="182">
        <v>0.27618324999999999</v>
      </c>
      <c r="H27" s="183">
        <v>0.2985109445584353</v>
      </c>
      <c r="I27" s="184">
        <v>25.888755509999999</v>
      </c>
    </row>
    <row r="28" spans="2:9" x14ac:dyDescent="0.2">
      <c r="B28" s="242"/>
      <c r="C28" s="9" t="s">
        <v>55</v>
      </c>
      <c r="D28" s="10" t="s">
        <v>56</v>
      </c>
      <c r="E28" s="6" t="s">
        <v>13</v>
      </c>
      <c r="F28" s="182">
        <f>H28/H21*F21</f>
        <v>0.50256165207427705</v>
      </c>
      <c r="G28" s="182">
        <v>0.46956305100000001</v>
      </c>
      <c r="H28" s="183">
        <v>0.49394496383205488</v>
      </c>
      <c r="I28" s="184">
        <v>43.926312860000003</v>
      </c>
    </row>
    <row r="29" spans="2:9" x14ac:dyDescent="0.2">
      <c r="B29" s="242"/>
      <c r="C29" s="9" t="s">
        <v>57</v>
      </c>
      <c r="D29" s="10" t="s">
        <v>58</v>
      </c>
      <c r="E29" s="6" t="s">
        <v>13</v>
      </c>
      <c r="F29" s="182">
        <f>H29/H22*F22</f>
        <v>0.24544647357545138</v>
      </c>
      <c r="G29" s="182">
        <v>0.188202382</v>
      </c>
      <c r="H29" s="183">
        <v>0.24345822578003401</v>
      </c>
      <c r="I29" s="184">
        <v>15.47887195</v>
      </c>
    </row>
    <row r="30" spans="2:9" ht="16" thickBot="1" x14ac:dyDescent="0.25">
      <c r="B30" s="243"/>
      <c r="C30" s="9" t="s">
        <v>59</v>
      </c>
      <c r="D30" s="15" t="s">
        <v>60</v>
      </c>
      <c r="E30" s="6" t="s">
        <v>13</v>
      </c>
      <c r="F30" s="182">
        <v>0</v>
      </c>
      <c r="G30" s="182">
        <v>0</v>
      </c>
      <c r="H30" s="183">
        <v>0</v>
      </c>
      <c r="I30" s="184"/>
    </row>
    <row r="31" spans="2:9" x14ac:dyDescent="0.2">
      <c r="B31" s="236" t="s">
        <v>61</v>
      </c>
      <c r="C31" s="4" t="s">
        <v>62</v>
      </c>
      <c r="D31" s="10" t="s">
        <v>63</v>
      </c>
      <c r="E31" s="16" t="s">
        <v>16</v>
      </c>
      <c r="F31" s="194">
        <v>199.340539556371</v>
      </c>
      <c r="G31" s="194">
        <v>196.60530790000001</v>
      </c>
      <c r="H31" s="195">
        <v>195.17304454138309</v>
      </c>
      <c r="I31" s="196">
        <v>198.70590300000001</v>
      </c>
    </row>
    <row r="32" spans="2:9" x14ac:dyDescent="0.2">
      <c r="B32" s="244"/>
      <c r="C32" s="9" t="s">
        <v>64</v>
      </c>
      <c r="D32" s="10" t="s">
        <v>65</v>
      </c>
      <c r="E32" s="6" t="s">
        <v>16</v>
      </c>
      <c r="F32" s="185">
        <v>45.087987547259999</v>
      </c>
      <c r="G32" s="185">
        <v>44.716268040000003</v>
      </c>
      <c r="H32" s="186">
        <v>45.006475051891691</v>
      </c>
      <c r="I32" s="187">
        <v>45.116478100000002</v>
      </c>
    </row>
    <row r="33" spans="2:9" x14ac:dyDescent="0.2">
      <c r="B33" s="244"/>
      <c r="C33" s="9" t="s">
        <v>66</v>
      </c>
      <c r="D33" s="10" t="s">
        <v>67</v>
      </c>
      <c r="E33" s="6" t="s">
        <v>16</v>
      </c>
      <c r="F33" s="197">
        <v>0</v>
      </c>
      <c r="G33" s="197">
        <v>0</v>
      </c>
      <c r="H33" s="198">
        <v>0</v>
      </c>
      <c r="I33" s="199"/>
    </row>
    <row r="34" spans="2:9" x14ac:dyDescent="0.2">
      <c r="B34" s="244"/>
      <c r="C34" s="9" t="s">
        <v>68</v>
      </c>
      <c r="D34" s="10" t="s">
        <v>69</v>
      </c>
      <c r="E34" s="6" t="s">
        <v>16</v>
      </c>
      <c r="F34" s="197">
        <v>13.481297680359599</v>
      </c>
      <c r="G34" s="197">
        <v>13.363200150000001</v>
      </c>
      <c r="H34" s="198">
        <v>13.41618545805267</v>
      </c>
      <c r="I34" s="199">
        <v>13.65655952</v>
      </c>
    </row>
    <row r="35" spans="2:9" x14ac:dyDescent="0.2">
      <c r="B35" s="244"/>
      <c r="C35" s="9" t="s">
        <v>70</v>
      </c>
      <c r="D35" s="10" t="s">
        <v>71</v>
      </c>
      <c r="E35" s="6" t="s">
        <v>16</v>
      </c>
      <c r="F35" s="185">
        <v>31.869593719426799</v>
      </c>
      <c r="G35" s="185">
        <v>31.214242989999999</v>
      </c>
      <c r="H35" s="186">
        <v>31.19459728043347</v>
      </c>
      <c r="I35" s="187">
        <v>30.79763161</v>
      </c>
    </row>
    <row r="36" spans="2:9" x14ac:dyDescent="0.2">
      <c r="B36" s="244"/>
      <c r="C36" s="9" t="s">
        <v>72</v>
      </c>
      <c r="D36" s="10" t="s">
        <v>73</v>
      </c>
      <c r="E36" s="6" t="s">
        <v>16</v>
      </c>
      <c r="F36" s="197">
        <v>31.305759754911598</v>
      </c>
      <c r="G36" s="197">
        <v>30.44560117</v>
      </c>
      <c r="H36" s="198">
        <v>30.790406083723099</v>
      </c>
      <c r="I36" s="199">
        <v>30.894576010000002</v>
      </c>
    </row>
    <row r="37" spans="2:9" x14ac:dyDescent="0.2">
      <c r="B37" s="244"/>
      <c r="C37" s="9" t="s">
        <v>74</v>
      </c>
      <c r="D37" s="10" t="s">
        <v>75</v>
      </c>
      <c r="E37" s="6" t="s">
        <v>16</v>
      </c>
      <c r="F37" s="185">
        <v>2.6296838194125698</v>
      </c>
      <c r="G37" s="185">
        <v>2.537133431</v>
      </c>
      <c r="H37" s="186">
        <v>2.565867187841461</v>
      </c>
      <c r="I37" s="187">
        <v>2.5745480010000001</v>
      </c>
    </row>
    <row r="38" spans="2:9" x14ac:dyDescent="0.2">
      <c r="B38" s="244"/>
      <c r="C38" s="9" t="s">
        <v>76</v>
      </c>
      <c r="D38" s="10" t="s">
        <v>77</v>
      </c>
      <c r="E38" s="6" t="s">
        <v>16</v>
      </c>
      <c r="F38" s="197">
        <v>20.5375514520886</v>
      </c>
      <c r="G38" s="197">
        <v>20.263068000000001</v>
      </c>
      <c r="H38" s="198">
        <v>20.262358670173889</v>
      </c>
      <c r="I38" s="199">
        <v>21.509352830000001</v>
      </c>
    </row>
    <row r="39" spans="2:9" x14ac:dyDescent="0.2">
      <c r="B39" s="244"/>
      <c r="C39" s="9" t="s">
        <v>78</v>
      </c>
      <c r="D39" s="10" t="s">
        <v>79</v>
      </c>
      <c r="E39" s="6" t="s">
        <v>16</v>
      </c>
      <c r="F39" s="197">
        <v>62.335356606885597</v>
      </c>
      <c r="G39" s="197">
        <v>63.474026860000002</v>
      </c>
      <c r="H39" s="198">
        <v>61.836863675580148</v>
      </c>
      <c r="I39" s="199">
        <v>63.511209600000001</v>
      </c>
    </row>
    <row r="40" spans="2:9" x14ac:dyDescent="0.2">
      <c r="B40" s="244"/>
      <c r="C40" s="9" t="s">
        <v>80</v>
      </c>
      <c r="D40" s="10" t="s">
        <v>81</v>
      </c>
      <c r="E40" s="6" t="s">
        <v>16</v>
      </c>
      <c r="F40" s="185">
        <v>0</v>
      </c>
      <c r="G40" s="185" t="s">
        <v>231</v>
      </c>
      <c r="H40" s="186">
        <v>0</v>
      </c>
      <c r="I40" s="187">
        <v>0</v>
      </c>
    </row>
    <row r="41" spans="2:9" x14ac:dyDescent="0.2">
      <c r="B41" s="244"/>
      <c r="C41" s="9" t="s">
        <v>82</v>
      </c>
      <c r="D41" s="10" t="s">
        <v>83</v>
      </c>
      <c r="E41" s="6" t="s">
        <v>16</v>
      </c>
      <c r="F41" s="185">
        <v>0</v>
      </c>
      <c r="G41" s="185" t="s">
        <v>231</v>
      </c>
      <c r="H41" s="186">
        <v>0</v>
      </c>
      <c r="I41" s="187">
        <v>0</v>
      </c>
    </row>
    <row r="42" spans="2:9" x14ac:dyDescent="0.2">
      <c r="B42" s="244"/>
      <c r="C42" s="9" t="s">
        <v>84</v>
      </c>
      <c r="D42" s="10" t="s">
        <v>85</v>
      </c>
      <c r="E42" s="6" t="s">
        <v>16</v>
      </c>
      <c r="F42" s="185">
        <v>3.2737988050684899</v>
      </c>
      <c r="G42" s="185">
        <v>3.0485807409999999</v>
      </c>
      <c r="H42" s="186">
        <v>3.0935105144174422</v>
      </c>
      <c r="I42" s="187">
        <v>3.173249915</v>
      </c>
    </row>
    <row r="43" spans="2:9" x14ac:dyDescent="0.2">
      <c r="B43" s="244"/>
      <c r="C43" s="9" t="s">
        <v>86</v>
      </c>
      <c r="D43" s="10" t="s">
        <v>87</v>
      </c>
      <c r="E43" s="6" t="s">
        <v>25</v>
      </c>
      <c r="F43" s="200">
        <f>0.964319999999999*1000</f>
        <v>964.31999999999891</v>
      </c>
      <c r="G43" s="200">
        <v>964.32</v>
      </c>
      <c r="H43" s="201">
        <v>965.22476224739171</v>
      </c>
      <c r="I43" s="202">
        <v>965.22476200000006</v>
      </c>
    </row>
    <row r="44" spans="2:9" x14ac:dyDescent="0.2">
      <c r="B44" s="244"/>
      <c r="C44" s="9" t="s">
        <v>88</v>
      </c>
      <c r="D44" s="10" t="s">
        <v>89</v>
      </c>
      <c r="E44" s="6" t="s">
        <v>25</v>
      </c>
      <c r="F44" s="200">
        <f>0.366247000394285*1000</f>
        <v>366.24700039428501</v>
      </c>
      <c r="G44" s="200">
        <v>388.5176525</v>
      </c>
      <c r="H44" s="201">
        <v>360.47059502097318</v>
      </c>
      <c r="I44" s="202">
        <v>345.34936240000002</v>
      </c>
    </row>
    <row r="45" spans="2:9" x14ac:dyDescent="0.2">
      <c r="B45" s="244"/>
      <c r="C45" s="9" t="s">
        <v>90</v>
      </c>
      <c r="D45" s="10" t="s">
        <v>91</v>
      </c>
      <c r="E45" s="6" t="s">
        <v>16</v>
      </c>
      <c r="F45" s="185">
        <v>162.15924303308401</v>
      </c>
      <c r="G45" s="185">
        <v>161.29727260000001</v>
      </c>
      <c r="H45" s="186">
        <v>160.06627835580471</v>
      </c>
      <c r="I45" s="187">
        <v>162.94387760000001</v>
      </c>
    </row>
    <row r="46" spans="2:9" x14ac:dyDescent="0.2">
      <c r="B46" s="244"/>
      <c r="C46" s="9" t="s">
        <v>92</v>
      </c>
      <c r="D46" s="10" t="s">
        <v>93</v>
      </c>
      <c r="E46" s="6" t="s">
        <v>16</v>
      </c>
      <c r="F46" s="185">
        <v>19.415759999999999</v>
      </c>
      <c r="G46" s="185">
        <v>19.303539489999999</v>
      </c>
      <c r="H46" s="186">
        <v>19.428000767749761</v>
      </c>
      <c r="I46" s="187">
        <v>19.428000770000001</v>
      </c>
    </row>
    <row r="47" spans="2:9" x14ac:dyDescent="0.2">
      <c r="B47" s="244"/>
      <c r="C47" s="9" t="s">
        <v>94</v>
      </c>
      <c r="D47" s="10" t="s">
        <v>95</v>
      </c>
      <c r="E47" s="6" t="s">
        <v>16</v>
      </c>
      <c r="F47" s="185">
        <v>14.561820000000001</v>
      </c>
      <c r="G47" s="185">
        <v>14.477654619999999</v>
      </c>
      <c r="H47" s="186">
        <v>14.57100057581232</v>
      </c>
      <c r="I47" s="187">
        <v>14.57100058</v>
      </c>
    </row>
    <row r="48" spans="2:9" x14ac:dyDescent="0.2">
      <c r="B48" s="244"/>
      <c r="C48" s="9" t="s">
        <v>96</v>
      </c>
      <c r="D48" s="10" t="s">
        <v>97</v>
      </c>
      <c r="E48" s="6" t="s">
        <v>16</v>
      </c>
      <c r="F48" s="200">
        <v>0</v>
      </c>
      <c r="G48" s="200">
        <v>0</v>
      </c>
      <c r="H48" s="201">
        <v>0</v>
      </c>
      <c r="I48" s="202">
        <v>0</v>
      </c>
    </row>
    <row r="49" spans="2:11" x14ac:dyDescent="0.2">
      <c r="B49" s="244"/>
      <c r="C49" s="9" t="s">
        <v>98</v>
      </c>
      <c r="D49" s="10" t="s">
        <v>99</v>
      </c>
      <c r="E49" s="6" t="s">
        <v>16</v>
      </c>
      <c r="F49" s="185">
        <v>2.6669999999999998</v>
      </c>
      <c r="G49" s="185">
        <v>2.6494398000000001</v>
      </c>
      <c r="H49" s="186">
        <v>2.6686814241414512</v>
      </c>
      <c r="I49" s="187">
        <v>2.6686814239999999</v>
      </c>
    </row>
    <row r="50" spans="2:11" x14ac:dyDescent="0.2">
      <c r="B50" s="244"/>
      <c r="C50" s="9" t="s">
        <v>100</v>
      </c>
      <c r="D50" s="10" t="s">
        <v>101</v>
      </c>
      <c r="E50" s="6" t="s">
        <v>16</v>
      </c>
      <c r="F50" s="185">
        <v>3.5696784072599899</v>
      </c>
      <c r="G50" s="185">
        <v>3.5496517139999999</v>
      </c>
      <c r="H50" s="186">
        <v>3.5719935243866918</v>
      </c>
      <c r="I50" s="187">
        <v>3.5719935239999998</v>
      </c>
    </row>
    <row r="51" spans="2:11" x14ac:dyDescent="0.2">
      <c r="B51" s="244"/>
      <c r="C51" s="9" t="s">
        <v>102</v>
      </c>
      <c r="D51" s="10" t="s">
        <v>103</v>
      </c>
      <c r="E51" s="6" t="s">
        <v>25</v>
      </c>
      <c r="F51" s="200">
        <v>693.42</v>
      </c>
      <c r="G51" s="200">
        <v>688.85434799999996</v>
      </c>
      <c r="H51" s="201">
        <v>693.8571702767772</v>
      </c>
      <c r="I51" s="202">
        <v>693.85717030000001</v>
      </c>
    </row>
    <row r="52" spans="2:11" x14ac:dyDescent="0.2">
      <c r="B52" s="244"/>
      <c r="C52" s="9" t="s">
        <v>104</v>
      </c>
      <c r="D52" s="10" t="s">
        <v>105</v>
      </c>
      <c r="E52" s="6" t="s">
        <v>16</v>
      </c>
      <c r="F52" s="185">
        <v>36.644579999999998</v>
      </c>
      <c r="G52" s="185">
        <v>36.430633919999998</v>
      </c>
      <c r="H52" s="186">
        <v>36.667682767703532</v>
      </c>
      <c r="I52" s="187">
        <v>36.667682769999999</v>
      </c>
    </row>
    <row r="53" spans="2:11" x14ac:dyDescent="0.2">
      <c r="B53" s="244"/>
      <c r="C53" s="9" t="s">
        <v>106</v>
      </c>
      <c r="D53" s="10" t="s">
        <v>107</v>
      </c>
      <c r="E53" s="6" t="s">
        <v>16</v>
      </c>
      <c r="F53" s="185">
        <v>0</v>
      </c>
      <c r="G53" s="185" t="s">
        <v>231</v>
      </c>
      <c r="H53" s="186">
        <v>0</v>
      </c>
      <c r="I53" s="187"/>
    </row>
    <row r="54" spans="2:11" x14ac:dyDescent="0.2">
      <c r="B54" s="244"/>
      <c r="C54" s="9" t="s">
        <v>108</v>
      </c>
      <c r="D54" s="10" t="s">
        <v>109</v>
      </c>
      <c r="E54" s="6" t="s">
        <v>16</v>
      </c>
      <c r="F54" s="185">
        <v>0</v>
      </c>
      <c r="G54" s="185" t="s">
        <v>231</v>
      </c>
      <c r="H54" s="186">
        <v>0</v>
      </c>
      <c r="I54" s="187"/>
    </row>
    <row r="55" spans="2:11" x14ac:dyDescent="0.2">
      <c r="B55" s="244"/>
      <c r="C55" s="9" t="s">
        <v>110</v>
      </c>
      <c r="D55" s="10" t="s">
        <v>111</v>
      </c>
      <c r="E55" s="6" t="s">
        <v>16</v>
      </c>
      <c r="F55" s="185">
        <v>0</v>
      </c>
      <c r="G55" s="185" t="s">
        <v>231</v>
      </c>
      <c r="H55" s="186">
        <v>0</v>
      </c>
      <c r="I55" s="187"/>
      <c r="K55" s="18"/>
    </row>
    <row r="56" spans="2:11" x14ac:dyDescent="0.2">
      <c r="B56" s="244"/>
      <c r="C56" s="9" t="s">
        <v>112</v>
      </c>
      <c r="D56" s="10" t="s">
        <v>113</v>
      </c>
      <c r="E56" s="6" t="s">
        <v>16</v>
      </c>
      <c r="F56" s="197">
        <v>0</v>
      </c>
      <c r="G56" s="197">
        <v>0</v>
      </c>
      <c r="H56" s="198">
        <v>0</v>
      </c>
      <c r="I56" s="199"/>
    </row>
    <row r="57" spans="2:11" x14ac:dyDescent="0.2">
      <c r="B57" s="244"/>
      <c r="C57" s="9" t="s">
        <v>114</v>
      </c>
      <c r="D57" s="10" t="s">
        <v>115</v>
      </c>
      <c r="E57" s="6" t="s">
        <v>25</v>
      </c>
      <c r="F57" s="197">
        <v>0</v>
      </c>
      <c r="G57" s="197" t="s">
        <v>231</v>
      </c>
      <c r="H57" s="198">
        <v>0</v>
      </c>
      <c r="I57" s="199"/>
    </row>
    <row r="58" spans="2:11" x14ac:dyDescent="0.2">
      <c r="B58" s="244"/>
      <c r="C58" s="9" t="s">
        <v>116</v>
      </c>
      <c r="D58" s="10" t="s">
        <v>117</v>
      </c>
      <c r="E58" s="20" t="s">
        <v>25</v>
      </c>
      <c r="F58" s="185">
        <v>0</v>
      </c>
      <c r="G58" s="185" t="s">
        <v>231</v>
      </c>
      <c r="H58" s="186">
        <v>0</v>
      </c>
      <c r="I58" s="187"/>
    </row>
    <row r="59" spans="2:11" x14ac:dyDescent="0.2">
      <c r="B59" s="244"/>
      <c r="C59" s="9" t="s">
        <v>118</v>
      </c>
      <c r="D59" s="10" t="s">
        <v>119</v>
      </c>
      <c r="E59" s="6" t="s">
        <v>16</v>
      </c>
      <c r="F59" s="185">
        <v>0</v>
      </c>
      <c r="G59" s="185">
        <v>0</v>
      </c>
      <c r="H59" s="186">
        <v>0</v>
      </c>
      <c r="I59" s="187"/>
    </row>
    <row r="60" spans="2:11" ht="16" thickBot="1" x14ac:dyDescent="0.25">
      <c r="B60" s="244"/>
      <c r="C60" s="9" t="s">
        <v>120</v>
      </c>
      <c r="D60" s="10" t="s">
        <v>121</v>
      </c>
      <c r="E60" s="6" t="s">
        <v>122</v>
      </c>
      <c r="F60" s="185"/>
      <c r="G60" s="185">
        <v>18.13283333</v>
      </c>
      <c r="H60" s="186">
        <v>18.034542402566871</v>
      </c>
      <c r="I60" s="187">
        <v>18.2623</v>
      </c>
    </row>
    <row r="61" spans="2:11" x14ac:dyDescent="0.2">
      <c r="B61" s="236" t="s">
        <v>123</v>
      </c>
      <c r="C61" s="4" t="s">
        <v>124</v>
      </c>
      <c r="D61" s="5" t="s">
        <v>125</v>
      </c>
      <c r="E61" s="16" t="s">
        <v>126</v>
      </c>
      <c r="F61" s="203">
        <v>189.969817868224</v>
      </c>
      <c r="G61" s="203">
        <v>187.03804160000001</v>
      </c>
      <c r="H61" s="204">
        <v>187.97259073436459</v>
      </c>
      <c r="I61" s="205">
        <v>190.2194982</v>
      </c>
    </row>
    <row r="62" spans="2:11" x14ac:dyDescent="0.2">
      <c r="B62" s="244"/>
      <c r="C62" s="9" t="s">
        <v>127</v>
      </c>
      <c r="D62" s="10" t="s">
        <v>128</v>
      </c>
      <c r="E62" s="6" t="s">
        <v>129</v>
      </c>
      <c r="F62" s="206">
        <v>313057.59754911601</v>
      </c>
      <c r="G62" s="206">
        <v>302039.69410000002</v>
      </c>
      <c r="H62" s="207">
        <v>305460.37950493582</v>
      </c>
      <c r="I62" s="208">
        <v>306493.80969999998</v>
      </c>
    </row>
    <row r="63" spans="2:11" x14ac:dyDescent="0.2">
      <c r="B63" s="244"/>
      <c r="C63" s="9" t="s">
        <v>130</v>
      </c>
      <c r="D63" s="10" t="s">
        <v>131</v>
      </c>
      <c r="E63" s="6" t="s">
        <v>129</v>
      </c>
      <c r="F63" s="200">
        <v>1574708.3527067199</v>
      </c>
      <c r="G63" s="200">
        <v>1468487.8330000001</v>
      </c>
      <c r="H63" s="201">
        <v>1490357.6143304009</v>
      </c>
      <c r="I63" s="202">
        <v>1528773.5889999999</v>
      </c>
    </row>
    <row r="64" spans="2:11" x14ac:dyDescent="0.2">
      <c r="B64" s="244"/>
      <c r="C64" s="9" t="s">
        <v>132</v>
      </c>
      <c r="D64" s="10" t="s">
        <v>133</v>
      </c>
      <c r="E64" s="6" t="s">
        <v>13</v>
      </c>
      <c r="F64" s="209">
        <v>0.68658386221864398</v>
      </c>
      <c r="G64" s="209">
        <v>0.68805541199999998</v>
      </c>
      <c r="H64" s="210">
        <v>0.68756032671406409</v>
      </c>
      <c r="I64" s="211"/>
    </row>
    <row r="65" spans="2:9" x14ac:dyDescent="0.2">
      <c r="B65" s="244"/>
      <c r="C65" s="9" t="s">
        <v>134</v>
      </c>
      <c r="D65" s="10" t="s">
        <v>135</v>
      </c>
      <c r="E65" s="6" t="s">
        <v>136</v>
      </c>
      <c r="F65" s="212">
        <v>2104</v>
      </c>
      <c r="G65" s="212">
        <v>2030</v>
      </c>
      <c r="H65" s="213"/>
      <c r="I65" s="214">
        <v>2060</v>
      </c>
    </row>
    <row r="66" spans="2:9" x14ac:dyDescent="0.2">
      <c r="B66" s="244"/>
      <c r="C66" s="9" t="s">
        <v>137</v>
      </c>
      <c r="D66" s="10" t="s">
        <v>138</v>
      </c>
      <c r="E66" s="6" t="s">
        <v>136</v>
      </c>
      <c r="F66" s="185">
        <v>2.2200000000000002</v>
      </c>
      <c r="G66" s="185"/>
      <c r="H66" s="186">
        <v>2.2239237320117731</v>
      </c>
      <c r="I66" s="187">
        <v>2.2239236999999998</v>
      </c>
    </row>
    <row r="67" spans="2:9" x14ac:dyDescent="0.2">
      <c r="B67" s="244"/>
      <c r="C67" s="9" t="s">
        <v>139</v>
      </c>
      <c r="D67" s="10" t="s">
        <v>140</v>
      </c>
      <c r="E67" s="6" t="s">
        <v>141</v>
      </c>
      <c r="F67" s="197">
        <v>148.41101472711901</v>
      </c>
      <c r="G67" s="197">
        <v>147.63236900000001</v>
      </c>
      <c r="H67" s="198">
        <v>147.82420100818641</v>
      </c>
      <c r="I67" s="199">
        <v>149.5540757</v>
      </c>
    </row>
    <row r="68" spans="2:9" x14ac:dyDescent="0.2">
      <c r="B68" s="244"/>
      <c r="C68" s="9" t="s">
        <v>142</v>
      </c>
      <c r="D68" s="40" t="s">
        <v>143</v>
      </c>
      <c r="E68" s="6" t="s">
        <v>126</v>
      </c>
      <c r="F68" s="197">
        <v>165.683194603017</v>
      </c>
      <c r="G68" s="197">
        <v>163.1754765</v>
      </c>
      <c r="H68" s="198">
        <v>163.94718695944999</v>
      </c>
      <c r="I68" s="199">
        <v>166.12612100000001</v>
      </c>
    </row>
    <row r="69" spans="2:9" x14ac:dyDescent="0.2">
      <c r="B69" s="244"/>
      <c r="C69" s="9" t="s">
        <v>144</v>
      </c>
      <c r="D69" s="10" t="s">
        <v>145</v>
      </c>
      <c r="E69" s="6" t="s">
        <v>141</v>
      </c>
      <c r="F69" s="212"/>
      <c r="G69" s="212"/>
      <c r="H69" s="213"/>
      <c r="I69" s="214">
        <v>10.69264544</v>
      </c>
    </row>
    <row r="70" spans="2:9" x14ac:dyDescent="0.2">
      <c r="B70" s="244"/>
      <c r="C70" s="9" t="s">
        <v>146</v>
      </c>
      <c r="D70" s="10" t="s">
        <v>147</v>
      </c>
      <c r="E70" s="6" t="s">
        <v>141</v>
      </c>
      <c r="F70" s="212"/>
      <c r="G70" s="212"/>
      <c r="H70" s="213"/>
      <c r="I70" s="214">
        <v>10.69264544</v>
      </c>
    </row>
    <row r="71" spans="2:9" x14ac:dyDescent="0.2">
      <c r="B71" s="244"/>
      <c r="C71" s="9" t="s">
        <v>148</v>
      </c>
      <c r="D71" s="10" t="s">
        <v>149</v>
      </c>
      <c r="E71" s="6" t="s">
        <v>13</v>
      </c>
      <c r="F71" s="209">
        <v>0.87215535847881898</v>
      </c>
      <c r="G71" s="209">
        <v>0.87241865399999996</v>
      </c>
      <c r="H71" s="210">
        <v>0.87212330228758628</v>
      </c>
      <c r="I71" s="211">
        <v>87.333907690000004</v>
      </c>
    </row>
    <row r="72" spans="2:9" x14ac:dyDescent="0.2">
      <c r="B72" s="244"/>
      <c r="C72" s="9" t="s">
        <v>150</v>
      </c>
      <c r="D72" s="10" t="s">
        <v>151</v>
      </c>
      <c r="E72" s="6" t="s">
        <v>13</v>
      </c>
      <c r="F72" s="212"/>
      <c r="G72" s="212"/>
      <c r="H72" s="213"/>
      <c r="I72" s="214"/>
    </row>
    <row r="73" spans="2:9" x14ac:dyDescent="0.2">
      <c r="B73" s="244"/>
      <c r="C73" s="9" t="s">
        <v>152</v>
      </c>
      <c r="D73" s="10" t="s">
        <v>153</v>
      </c>
      <c r="E73" s="6" t="s">
        <v>129</v>
      </c>
      <c r="F73" s="197">
        <v>377.70166829517501</v>
      </c>
      <c r="G73" s="197">
        <v>366.14795090000001</v>
      </c>
      <c r="H73" s="198">
        <v>369.53936623657188</v>
      </c>
      <c r="I73" s="199">
        <v>359.00457310000002</v>
      </c>
    </row>
    <row r="74" spans="2:9" x14ac:dyDescent="0.2">
      <c r="B74" s="244"/>
      <c r="C74" s="9" t="s">
        <v>154</v>
      </c>
      <c r="D74" s="10" t="s">
        <v>155</v>
      </c>
      <c r="E74" s="6" t="s">
        <v>156</v>
      </c>
      <c r="F74" s="212">
        <v>420.55585660717202</v>
      </c>
      <c r="G74" s="212">
        <v>414.19048240000001</v>
      </c>
      <c r="H74" s="213"/>
      <c r="I74" s="214">
        <v>424.56215109999999</v>
      </c>
    </row>
    <row r="75" spans="2:9" x14ac:dyDescent="0.2">
      <c r="B75" s="244"/>
      <c r="C75" s="9" t="s">
        <v>157</v>
      </c>
      <c r="D75" s="10" t="s">
        <v>158</v>
      </c>
      <c r="E75" s="6" t="s">
        <v>159</v>
      </c>
      <c r="F75" s="212">
        <v>550</v>
      </c>
      <c r="G75" s="212">
        <v>550</v>
      </c>
      <c r="H75" s="213"/>
      <c r="I75" s="214">
        <v>550</v>
      </c>
    </row>
    <row r="76" spans="2:9" x14ac:dyDescent="0.2">
      <c r="B76" s="244"/>
      <c r="C76" s="9" t="s">
        <v>160</v>
      </c>
      <c r="D76" s="23" t="s">
        <v>160</v>
      </c>
      <c r="E76" s="6" t="s">
        <v>159</v>
      </c>
      <c r="F76" s="212">
        <v>290</v>
      </c>
      <c r="G76" s="212">
        <v>290</v>
      </c>
      <c r="H76" s="213"/>
      <c r="I76" s="214">
        <v>290</v>
      </c>
    </row>
    <row r="77" spans="2:9" x14ac:dyDescent="0.2">
      <c r="B77" s="244"/>
      <c r="C77" s="9" t="s">
        <v>161</v>
      </c>
      <c r="D77" s="10" t="s">
        <v>162</v>
      </c>
      <c r="E77" s="6" t="s">
        <v>126</v>
      </c>
      <c r="F77" s="212"/>
      <c r="G77" s="212"/>
      <c r="H77" s="213">
        <v>0</v>
      </c>
      <c r="I77" s="214"/>
    </row>
    <row r="78" spans="2:9" x14ac:dyDescent="0.2">
      <c r="B78" s="244"/>
      <c r="C78" s="9" t="s">
        <v>163</v>
      </c>
      <c r="D78" s="10" t="s">
        <v>164</v>
      </c>
      <c r="E78" s="6" t="s">
        <v>13</v>
      </c>
      <c r="F78" s="218"/>
      <c r="G78" s="218"/>
      <c r="H78" s="219">
        <v>0.95</v>
      </c>
      <c r="I78" s="220"/>
    </row>
    <row r="79" spans="2:9" x14ac:dyDescent="0.2">
      <c r="B79" s="244"/>
      <c r="C79" s="9" t="s">
        <v>165</v>
      </c>
      <c r="D79" s="10" t="s">
        <v>166</v>
      </c>
      <c r="E79" s="6" t="s">
        <v>156</v>
      </c>
      <c r="F79" s="212"/>
      <c r="G79" s="212">
        <v>0</v>
      </c>
      <c r="H79" s="213"/>
      <c r="I79" s="214"/>
    </row>
    <row r="80" spans="2:9" x14ac:dyDescent="0.2">
      <c r="B80" s="244"/>
      <c r="C80" s="9" t="s">
        <v>167</v>
      </c>
      <c r="D80" s="10" t="s">
        <v>168</v>
      </c>
      <c r="E80" s="6" t="s">
        <v>126</v>
      </c>
      <c r="F80" s="212"/>
      <c r="G80" s="212">
        <v>0</v>
      </c>
      <c r="H80" s="213">
        <v>0</v>
      </c>
      <c r="I80" s="214"/>
    </row>
    <row r="81" spans="2:9" x14ac:dyDescent="0.2">
      <c r="B81" s="244"/>
      <c r="C81" s="9" t="s">
        <v>169</v>
      </c>
      <c r="D81" s="10" t="s">
        <v>170</v>
      </c>
      <c r="E81" s="6" t="s">
        <v>126</v>
      </c>
      <c r="F81" s="212"/>
      <c r="G81" s="212">
        <v>0</v>
      </c>
      <c r="H81" s="213"/>
      <c r="I81" s="214"/>
    </row>
    <row r="82" spans="2:9" x14ac:dyDescent="0.2">
      <c r="B82" s="244"/>
      <c r="C82" s="9" t="s">
        <v>171</v>
      </c>
      <c r="D82" s="10" t="s">
        <v>172</v>
      </c>
      <c r="E82" s="6" t="s">
        <v>173</v>
      </c>
      <c r="F82" s="197">
        <v>15.6</v>
      </c>
      <c r="G82" s="197"/>
      <c r="H82" s="198">
        <v>15.58143089344342</v>
      </c>
      <c r="I82" s="199">
        <v>15.5814308</v>
      </c>
    </row>
    <row r="83" spans="2:9" x14ac:dyDescent="0.2">
      <c r="B83" s="244"/>
      <c r="C83" s="9" t="s">
        <v>174</v>
      </c>
      <c r="D83" s="10" t="s">
        <v>175</v>
      </c>
      <c r="E83" s="6" t="s">
        <v>141</v>
      </c>
      <c r="F83" s="212"/>
      <c r="G83" s="212"/>
      <c r="H83" s="213"/>
      <c r="I83" s="214">
        <v>12</v>
      </c>
    </row>
    <row r="84" spans="2:9" x14ac:dyDescent="0.2">
      <c r="B84" s="244"/>
      <c r="C84" s="9" t="s">
        <v>176</v>
      </c>
      <c r="D84" s="10" t="s">
        <v>177</v>
      </c>
      <c r="E84" s="6" t="s">
        <v>141</v>
      </c>
      <c r="F84" s="212"/>
      <c r="G84" s="212"/>
      <c r="H84" s="213"/>
      <c r="I84" s="214"/>
    </row>
    <row r="85" spans="2:9" x14ac:dyDescent="0.2">
      <c r="B85" s="244"/>
      <c r="C85" s="9" t="s">
        <v>178</v>
      </c>
      <c r="D85" s="10" t="s">
        <v>179</v>
      </c>
      <c r="E85" s="6" t="s">
        <v>129</v>
      </c>
      <c r="F85" s="212"/>
      <c r="G85" s="212"/>
      <c r="H85" s="213"/>
      <c r="I85" s="214"/>
    </row>
    <row r="86" spans="2:9" x14ac:dyDescent="0.2">
      <c r="B86" s="244"/>
      <c r="C86" s="9" t="s">
        <v>180</v>
      </c>
      <c r="D86" s="40" t="s">
        <v>181</v>
      </c>
      <c r="E86" s="6" t="s">
        <v>182</v>
      </c>
      <c r="F86" s="197">
        <f>F87*F82</f>
        <v>1164.2602863995812</v>
      </c>
      <c r="G86" s="197">
        <v>1148.7</v>
      </c>
      <c r="H86" s="198">
        <v>1148.6597885586109</v>
      </c>
      <c r="I86" s="199">
        <v>1163.926019</v>
      </c>
    </row>
    <row r="87" spans="2:9" x14ac:dyDescent="0.2">
      <c r="B87" s="244"/>
      <c r="C87" s="9" t="s">
        <v>183</v>
      </c>
      <c r="D87" s="10" t="s">
        <v>184</v>
      </c>
      <c r="E87" s="6" t="s">
        <v>126</v>
      </c>
      <c r="F87" s="185">
        <v>74.632069640998793</v>
      </c>
      <c r="G87" s="185">
        <v>74.335999849999993</v>
      </c>
      <c r="H87" s="186">
        <v>73.719788408005599</v>
      </c>
      <c r="I87" s="187">
        <v>74.699559609999994</v>
      </c>
    </row>
    <row r="88" spans="2:9" x14ac:dyDescent="0.2">
      <c r="B88" s="244"/>
      <c r="C88" s="9" t="s">
        <v>36</v>
      </c>
      <c r="D88" s="10" t="s">
        <v>185</v>
      </c>
      <c r="E88" s="6" t="s">
        <v>13</v>
      </c>
      <c r="F88" s="209">
        <v>0.38455318387999998</v>
      </c>
      <c r="G88" s="209">
        <v>0.38608480499999998</v>
      </c>
      <c r="H88" s="210">
        <v>0.38967729110735538</v>
      </c>
      <c r="I88" s="211">
        <v>0.38456622200000001</v>
      </c>
    </row>
    <row r="89" spans="2:9" x14ac:dyDescent="0.2">
      <c r="B89" s="244"/>
      <c r="C89" s="9" t="s">
        <v>186</v>
      </c>
      <c r="D89" s="10" t="s">
        <v>187</v>
      </c>
      <c r="E89" s="6" t="s">
        <v>159</v>
      </c>
      <c r="F89" s="212"/>
      <c r="G89" s="212"/>
      <c r="H89" s="213"/>
      <c r="I89" s="214"/>
    </row>
    <row r="90" spans="2:9" x14ac:dyDescent="0.2">
      <c r="B90" s="244"/>
      <c r="C90" s="9" t="s">
        <v>188</v>
      </c>
      <c r="D90" s="10" t="s">
        <v>189</v>
      </c>
      <c r="E90" s="6" t="s">
        <v>159</v>
      </c>
      <c r="F90" s="212">
        <v>550</v>
      </c>
      <c r="G90" s="212">
        <v>550</v>
      </c>
      <c r="H90" s="213">
        <v>550</v>
      </c>
      <c r="I90" s="214">
        <v>550</v>
      </c>
    </row>
    <row r="91" spans="2:9" x14ac:dyDescent="0.2">
      <c r="B91" s="244"/>
      <c r="C91" s="9" t="s">
        <v>190</v>
      </c>
      <c r="D91" s="10" t="s">
        <v>191</v>
      </c>
      <c r="E91" s="6" t="s">
        <v>159</v>
      </c>
      <c r="F91" s="212">
        <v>290</v>
      </c>
      <c r="G91" s="212">
        <v>290.1764</v>
      </c>
      <c r="H91" s="213">
        <v>290</v>
      </c>
      <c r="I91" s="214">
        <v>290</v>
      </c>
    </row>
    <row r="92" spans="2:9" x14ac:dyDescent="0.2">
      <c r="B92" s="244"/>
      <c r="C92" s="9" t="s">
        <v>192</v>
      </c>
      <c r="D92" s="10" t="s">
        <v>193</v>
      </c>
      <c r="E92" s="6" t="s">
        <v>159</v>
      </c>
      <c r="F92" s="212">
        <v>30</v>
      </c>
      <c r="G92" s="212">
        <v>30</v>
      </c>
      <c r="H92" s="213">
        <v>30</v>
      </c>
      <c r="I92" s="214">
        <v>30</v>
      </c>
    </row>
    <row r="93" spans="2:9" x14ac:dyDescent="0.2">
      <c r="B93" s="244"/>
      <c r="C93" s="9" t="s">
        <v>194</v>
      </c>
      <c r="D93" s="10" t="s">
        <v>195</v>
      </c>
      <c r="E93" s="6" t="s">
        <v>126</v>
      </c>
      <c r="F93" s="197">
        <v>30.147058823529399</v>
      </c>
      <c r="G93" s="197">
        <v>30.147058820000002</v>
      </c>
      <c r="H93" s="198">
        <v>30.175343957814121</v>
      </c>
      <c r="I93" s="199">
        <v>30.175343949999998</v>
      </c>
    </row>
    <row r="94" spans="2:9" x14ac:dyDescent="0.2">
      <c r="B94" s="244"/>
      <c r="C94" s="9" t="s">
        <v>196</v>
      </c>
      <c r="D94" s="40" t="s">
        <v>197</v>
      </c>
      <c r="E94" s="6" t="s">
        <v>126</v>
      </c>
      <c r="F94" s="197">
        <v>28.7</v>
      </c>
      <c r="G94" s="197">
        <v>28.7</v>
      </c>
      <c r="H94" s="198">
        <v>28.726927447839039</v>
      </c>
      <c r="I94" s="199">
        <v>28.726927440000001</v>
      </c>
    </row>
    <row r="95" spans="2:9" x14ac:dyDescent="0.2">
      <c r="B95" s="244"/>
      <c r="C95" s="9" t="s">
        <v>198</v>
      </c>
      <c r="D95" s="40" t="s">
        <v>199</v>
      </c>
      <c r="E95" s="6" t="s">
        <v>126</v>
      </c>
      <c r="F95" s="197">
        <v>63.5</v>
      </c>
      <c r="G95" s="197">
        <v>63.081899999999997</v>
      </c>
      <c r="H95" s="198">
        <v>63.540033908129779</v>
      </c>
      <c r="I95" s="199">
        <v>63.540033909999998</v>
      </c>
    </row>
    <row r="96" spans="2:9" x14ac:dyDescent="0.2">
      <c r="B96" s="244"/>
      <c r="C96" s="9" t="s">
        <v>200</v>
      </c>
      <c r="D96" s="10" t="s">
        <v>201</v>
      </c>
      <c r="E96" s="6" t="s">
        <v>126</v>
      </c>
      <c r="F96" s="197">
        <v>82.55</v>
      </c>
      <c r="G96" s="197">
        <v>82.072872000000004</v>
      </c>
      <c r="H96" s="198">
        <v>82.602044080568717</v>
      </c>
      <c r="I96" s="199">
        <v>82.602044079999999</v>
      </c>
    </row>
    <row r="97" spans="2:9" x14ac:dyDescent="0.2">
      <c r="B97" s="244"/>
      <c r="C97" s="9" t="s">
        <v>202</v>
      </c>
      <c r="D97" s="10" t="s">
        <v>203</v>
      </c>
      <c r="E97" s="6" t="s">
        <v>136</v>
      </c>
      <c r="F97" s="212">
        <v>1.3</v>
      </c>
      <c r="G97" s="212">
        <v>1.301052632</v>
      </c>
      <c r="H97" s="213">
        <v>1.3</v>
      </c>
      <c r="I97" s="214">
        <v>1.3</v>
      </c>
    </row>
    <row r="98" spans="2:9" x14ac:dyDescent="0.2">
      <c r="B98" s="244"/>
      <c r="C98" s="9" t="s">
        <v>204</v>
      </c>
      <c r="D98" s="10" t="s">
        <v>205</v>
      </c>
      <c r="E98" s="6" t="s">
        <v>129</v>
      </c>
      <c r="F98" s="206">
        <v>458611.11111111101</v>
      </c>
      <c r="G98" s="206">
        <v>455960.4</v>
      </c>
      <c r="H98" s="207">
        <v>458900.24489204842</v>
      </c>
      <c r="I98" s="208">
        <v>458900.24489999999</v>
      </c>
    </row>
    <row r="99" spans="2:9" x14ac:dyDescent="0.2">
      <c r="B99" s="244"/>
      <c r="C99" s="9" t="s">
        <v>206</v>
      </c>
      <c r="D99" s="10" t="s">
        <v>207</v>
      </c>
      <c r="E99" s="6" t="s">
        <v>129</v>
      </c>
      <c r="F99" s="206">
        <v>1719796.5</v>
      </c>
      <c r="G99" s="206">
        <v>1709851.5</v>
      </c>
      <c r="H99" s="207">
        <v>1720875.918345182</v>
      </c>
      <c r="I99" s="208">
        <v>1720875.9180000001</v>
      </c>
    </row>
    <row r="100" spans="2:9" x14ac:dyDescent="0.2">
      <c r="B100" s="244"/>
      <c r="C100" s="9" t="s">
        <v>208</v>
      </c>
      <c r="D100" s="10" t="s">
        <v>209</v>
      </c>
      <c r="E100" s="6" t="s">
        <v>136</v>
      </c>
      <c r="F100" s="212">
        <v>0.4</v>
      </c>
      <c r="G100" s="212">
        <v>0.4</v>
      </c>
      <c r="H100" s="213">
        <v>0.4</v>
      </c>
      <c r="I100" s="214">
        <v>0.4</v>
      </c>
    </row>
    <row r="101" spans="2:9" x14ac:dyDescent="0.2">
      <c r="B101" s="244"/>
      <c r="C101" s="9" t="s">
        <v>210</v>
      </c>
      <c r="D101" s="10" t="s">
        <v>211</v>
      </c>
      <c r="E101" s="6" t="s">
        <v>212</v>
      </c>
      <c r="F101" s="212">
        <v>37</v>
      </c>
      <c r="G101" s="212">
        <v>37</v>
      </c>
      <c r="H101" s="213">
        <v>37</v>
      </c>
      <c r="I101" s="214">
        <v>37</v>
      </c>
    </row>
    <row r="102" spans="2:9" x14ac:dyDescent="0.2">
      <c r="B102" s="244"/>
      <c r="C102" s="9" t="s">
        <v>213</v>
      </c>
      <c r="D102" s="10" t="s">
        <v>214</v>
      </c>
      <c r="E102" s="6" t="s">
        <v>212</v>
      </c>
      <c r="F102" s="212">
        <v>0</v>
      </c>
      <c r="G102" s="212">
        <v>0</v>
      </c>
      <c r="H102" s="213">
        <v>0</v>
      </c>
      <c r="I102" s="214">
        <v>0</v>
      </c>
    </row>
    <row r="103" spans="2:9" x14ac:dyDescent="0.2">
      <c r="B103" s="244"/>
      <c r="C103" s="9" t="s">
        <v>215</v>
      </c>
      <c r="D103" s="10" t="s">
        <v>216</v>
      </c>
      <c r="E103" s="6" t="s">
        <v>13</v>
      </c>
      <c r="F103" s="218"/>
      <c r="G103" s="218">
        <v>0.95</v>
      </c>
      <c r="H103" s="219">
        <v>95</v>
      </c>
      <c r="I103" s="220">
        <v>0.95</v>
      </c>
    </row>
    <row r="104" spans="2:9" x14ac:dyDescent="0.2">
      <c r="B104" s="244"/>
      <c r="C104" s="9" t="s">
        <v>217</v>
      </c>
      <c r="D104" s="10" t="s">
        <v>218</v>
      </c>
      <c r="E104" s="6" t="s">
        <v>126</v>
      </c>
      <c r="F104" s="212"/>
      <c r="G104" s="212">
        <v>50</v>
      </c>
      <c r="H104" s="213">
        <v>50</v>
      </c>
      <c r="I104" s="214">
        <v>50</v>
      </c>
    </row>
    <row r="105" spans="2:9" x14ac:dyDescent="0.2">
      <c r="B105" s="244"/>
      <c r="C105" s="9" t="s">
        <v>219</v>
      </c>
      <c r="D105" s="10" t="s">
        <v>220</v>
      </c>
      <c r="E105" s="6" t="s">
        <v>173</v>
      </c>
      <c r="F105" s="212"/>
      <c r="G105" s="212"/>
      <c r="H105" s="213">
        <v>0</v>
      </c>
      <c r="I105" s="214"/>
    </row>
    <row r="106" spans="2:9" x14ac:dyDescent="0.2">
      <c r="B106" s="244"/>
      <c r="C106" s="9" t="s">
        <v>221</v>
      </c>
      <c r="D106" s="40" t="s">
        <v>222</v>
      </c>
      <c r="E106" s="6" t="s">
        <v>126</v>
      </c>
      <c r="F106" s="212"/>
      <c r="G106" s="212">
        <v>0</v>
      </c>
      <c r="H106" s="213">
        <v>0</v>
      </c>
      <c r="I106" s="214"/>
    </row>
    <row r="107" spans="2:9" x14ac:dyDescent="0.2">
      <c r="B107" s="244"/>
      <c r="C107" s="9" t="s">
        <v>223</v>
      </c>
      <c r="D107" s="40" t="s">
        <v>224</v>
      </c>
      <c r="E107" s="6" t="s">
        <v>182</v>
      </c>
      <c r="F107" s="212"/>
      <c r="G107" s="212"/>
      <c r="H107" s="213">
        <v>0</v>
      </c>
      <c r="I107" s="214"/>
    </row>
    <row r="108" spans="2:9" x14ac:dyDescent="0.2">
      <c r="B108" s="244"/>
      <c r="C108" s="9"/>
      <c r="D108" s="10" t="s">
        <v>225</v>
      </c>
      <c r="E108" s="6"/>
      <c r="F108" s="224"/>
      <c r="G108" s="224">
        <v>0</v>
      </c>
      <c r="H108" s="198">
        <v>0</v>
      </c>
      <c r="I108" s="199"/>
    </row>
    <row r="109" spans="2:9" x14ac:dyDescent="0.2">
      <c r="B109" s="244"/>
      <c r="C109" s="9" t="s">
        <v>226</v>
      </c>
      <c r="D109" s="10" t="s">
        <v>227</v>
      </c>
      <c r="E109" s="6" t="s">
        <v>136</v>
      </c>
      <c r="F109" s="225"/>
      <c r="G109" s="225">
        <v>0</v>
      </c>
      <c r="H109" s="213">
        <v>0</v>
      </c>
      <c r="I109" s="214"/>
    </row>
    <row r="110" spans="2:9" ht="16" thickBot="1" x14ac:dyDescent="0.25">
      <c r="B110" s="237"/>
      <c r="C110" s="24" t="s">
        <v>228</v>
      </c>
      <c r="D110" s="15" t="s">
        <v>229</v>
      </c>
      <c r="E110" s="25" t="s">
        <v>136</v>
      </c>
      <c r="F110" s="226"/>
      <c r="G110" s="226">
        <v>0</v>
      </c>
      <c r="H110" s="227">
        <v>0</v>
      </c>
      <c r="I110" s="228"/>
    </row>
    <row r="111" spans="2:9" ht="16" x14ac:dyDescent="0.2">
      <c r="D111" s="1" t="s">
        <v>230</v>
      </c>
      <c r="G111" s="71"/>
      <c r="I111" s="41">
        <v>0.84</v>
      </c>
    </row>
    <row r="115" spans="2:14" s="1" customFormat="1" x14ac:dyDescent="0.2">
      <c r="B115"/>
      <c r="F115" s="37"/>
      <c r="G115" s="37"/>
      <c r="H115" s="37"/>
      <c r="I115" s="38"/>
      <c r="J115"/>
      <c r="K115"/>
      <c r="L115"/>
      <c r="M115"/>
      <c r="N115"/>
    </row>
    <row r="116" spans="2:14" s="1" customFormat="1" x14ac:dyDescent="0.2">
      <c r="B116"/>
      <c r="F116" s="37"/>
      <c r="G116" s="37"/>
      <c r="H116" s="37"/>
      <c r="I116" s="38"/>
      <c r="J116"/>
      <c r="K116"/>
      <c r="L116"/>
      <c r="M116"/>
      <c r="N116"/>
    </row>
    <row r="117" spans="2:14" s="1" customFormat="1" x14ac:dyDescent="0.2">
      <c r="B117"/>
      <c r="F117" s="37"/>
      <c r="G117" s="37"/>
      <c r="H117" s="37"/>
      <c r="I117" s="38"/>
      <c r="J117"/>
      <c r="K117"/>
      <c r="L117"/>
      <c r="M117"/>
      <c r="N117"/>
    </row>
    <row r="118" spans="2:14" s="1" customFormat="1" x14ac:dyDescent="0.2">
      <c r="B118"/>
      <c r="F118" s="37"/>
      <c r="G118" s="37"/>
      <c r="H118" s="37"/>
      <c r="I118" s="38"/>
      <c r="J118"/>
      <c r="K118"/>
      <c r="L118"/>
      <c r="M118"/>
      <c r="N118"/>
    </row>
    <row r="119" spans="2:14" s="1" customFormat="1" x14ac:dyDescent="0.2">
      <c r="B119"/>
      <c r="F119" s="37"/>
      <c r="G119" s="37"/>
      <c r="H119" s="37"/>
      <c r="I119" s="38"/>
      <c r="J119"/>
      <c r="K119"/>
      <c r="L119"/>
      <c r="M119"/>
      <c r="N119"/>
    </row>
    <row r="121" spans="2:14" s="1" customFormat="1" x14ac:dyDescent="0.2">
      <c r="B121"/>
      <c r="F121" s="37"/>
      <c r="G121" s="37"/>
      <c r="H121" s="37"/>
      <c r="I121" s="39"/>
      <c r="J121"/>
      <c r="K121"/>
      <c r="L121"/>
      <c r="M121"/>
      <c r="N121"/>
    </row>
    <row r="127" spans="2:14" s="1" customFormat="1" x14ac:dyDescent="0.2">
      <c r="B127"/>
      <c r="F127" s="37"/>
      <c r="G127" s="37"/>
      <c r="H127" s="37"/>
      <c r="I127" s="38"/>
      <c r="J127"/>
      <c r="K127"/>
      <c r="L127"/>
      <c r="M127"/>
      <c r="N127"/>
    </row>
    <row r="133" spans="2:14" s="1" customFormat="1" x14ac:dyDescent="0.2">
      <c r="B133"/>
      <c r="F133" s="37"/>
      <c r="G133" s="37"/>
      <c r="H133" s="37"/>
      <c r="I133" s="38"/>
      <c r="J133"/>
      <c r="K133"/>
      <c r="L133"/>
      <c r="M133"/>
      <c r="N133"/>
    </row>
    <row r="134" spans="2:14" s="1" customFormat="1" x14ac:dyDescent="0.2">
      <c r="B134"/>
      <c r="F134" s="37"/>
      <c r="G134" s="37"/>
      <c r="H134" s="37"/>
      <c r="I134" s="38"/>
      <c r="J134"/>
      <c r="K134"/>
      <c r="L134"/>
      <c r="M134"/>
      <c r="N134"/>
    </row>
    <row r="135" spans="2:14" s="1" customFormat="1" x14ac:dyDescent="0.2">
      <c r="B135"/>
      <c r="F135" s="37"/>
      <c r="G135" s="37"/>
      <c r="H135" s="37"/>
      <c r="I135" s="38"/>
      <c r="J135"/>
      <c r="K135"/>
      <c r="L135"/>
      <c r="M135"/>
      <c r="N135"/>
    </row>
    <row r="136" spans="2:14" s="1" customFormat="1" x14ac:dyDescent="0.2">
      <c r="B136"/>
      <c r="F136" s="37"/>
      <c r="G136" s="37"/>
      <c r="H136" s="37"/>
      <c r="I136" s="38"/>
      <c r="J136"/>
      <c r="K136"/>
      <c r="L136"/>
      <c r="M136"/>
      <c r="N136"/>
    </row>
    <row r="137" spans="2:14" s="1" customFormat="1" x14ac:dyDescent="0.2">
      <c r="B137"/>
      <c r="F137" s="37"/>
      <c r="G137" s="37"/>
      <c r="H137" s="37"/>
      <c r="I137" s="38"/>
      <c r="J137"/>
      <c r="K137"/>
      <c r="L137"/>
      <c r="M137"/>
      <c r="N137"/>
    </row>
    <row r="138" spans="2:14" s="1" customFormat="1" x14ac:dyDescent="0.2">
      <c r="B138"/>
      <c r="F138" s="37"/>
      <c r="G138" s="37"/>
      <c r="H138" s="37"/>
      <c r="I138" s="38"/>
      <c r="J138"/>
      <c r="K138"/>
      <c r="L138"/>
      <c r="M138"/>
      <c r="N138"/>
    </row>
  </sheetData>
  <mergeCells count="8">
    <mergeCell ref="E2:E3"/>
    <mergeCell ref="F2:I2"/>
    <mergeCell ref="B4:B30"/>
    <mergeCell ref="B31:B60"/>
    <mergeCell ref="B61:B110"/>
    <mergeCell ref="B2:B3"/>
    <mergeCell ref="C2:C3"/>
    <mergeCell ref="D2:D3"/>
  </mergeCells>
  <pageMargins left="0.7" right="0.7" top="0.75" bottom="0.75" header="0.3" footer="0.3"/>
  <pageSetup orientation="portrait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7B0B7-E2B3-774D-B851-AE66BEF48701}">
  <dimension ref="B1:N138"/>
  <sheetViews>
    <sheetView zoomScale="85" zoomScaleNormal="85" workbookViewId="0">
      <selection activeCell="J1" sqref="J1:M1048576"/>
    </sheetView>
  </sheetViews>
  <sheetFormatPr baseColWidth="10" defaultColWidth="8.6640625" defaultRowHeight="15" x14ac:dyDescent="0.2"/>
  <cols>
    <col min="2" max="2" width="16.6640625" customWidth="1"/>
    <col min="3" max="3" width="20.33203125" style="1" bestFit="1" customWidth="1"/>
    <col min="4" max="4" width="43" style="1" bestFit="1" customWidth="1"/>
    <col min="5" max="5" width="12.5" style="1" customWidth="1"/>
    <col min="6" max="6" width="17.5" style="37" bestFit="1" customWidth="1"/>
    <col min="7" max="7" width="19.33203125" style="37" bestFit="1" customWidth="1"/>
    <col min="8" max="8" width="14.6640625" style="37" bestFit="1" customWidth="1"/>
    <col min="9" max="9" width="16.33203125" style="38" bestFit="1" customWidth="1"/>
  </cols>
  <sheetData>
    <row r="1" spans="2:9" ht="16" thickBot="1" x14ac:dyDescent="0.25"/>
    <row r="2" spans="2:9" ht="16" thickBot="1" x14ac:dyDescent="0.25">
      <c r="B2" s="245" t="s">
        <v>0</v>
      </c>
      <c r="C2" s="247" t="s">
        <v>1</v>
      </c>
      <c r="D2" s="249" t="s">
        <v>2</v>
      </c>
      <c r="E2" s="236" t="s">
        <v>3</v>
      </c>
      <c r="F2" s="251" t="s">
        <v>4</v>
      </c>
      <c r="G2" s="252"/>
      <c r="H2" s="252"/>
      <c r="I2" s="253"/>
    </row>
    <row r="3" spans="2:9" s="1" customFormat="1" ht="16" thickBot="1" x14ac:dyDescent="0.25">
      <c r="B3" s="246"/>
      <c r="C3" s="248"/>
      <c r="D3" s="250"/>
      <c r="E3" s="237"/>
      <c r="F3" s="230" t="s">
        <v>237</v>
      </c>
      <c r="G3" s="231" t="s">
        <v>238</v>
      </c>
      <c r="H3" s="232" t="s">
        <v>239</v>
      </c>
      <c r="I3" s="233" t="s">
        <v>240</v>
      </c>
    </row>
    <row r="4" spans="2:9" x14ac:dyDescent="0.2">
      <c r="B4" s="241" t="s">
        <v>5</v>
      </c>
      <c r="C4" s="4" t="s">
        <v>6</v>
      </c>
      <c r="D4" s="5" t="s">
        <v>7</v>
      </c>
      <c r="E4" s="6" t="s">
        <v>8</v>
      </c>
      <c r="F4" s="44">
        <v>304.00888100937499</v>
      </c>
      <c r="G4" s="44">
        <v>292.8816976</v>
      </c>
      <c r="H4" s="150">
        <v>309.97342841509828</v>
      </c>
      <c r="I4" s="149">
        <v>299.89982309999999</v>
      </c>
    </row>
    <row r="5" spans="2:9" x14ac:dyDescent="0.2">
      <c r="B5" s="242"/>
      <c r="C5" s="9"/>
      <c r="D5" s="10" t="s">
        <v>9</v>
      </c>
      <c r="E5" s="6" t="s">
        <v>10</v>
      </c>
      <c r="F5" s="44"/>
      <c r="G5" s="44" t="s">
        <v>231</v>
      </c>
      <c r="H5" s="150">
        <v>448.44088497440788</v>
      </c>
      <c r="I5" s="151">
        <v>620.49954609999998</v>
      </c>
    </row>
    <row r="6" spans="2:9" x14ac:dyDescent="0.2">
      <c r="B6" s="242"/>
      <c r="C6" s="9" t="s">
        <v>11</v>
      </c>
      <c r="D6" s="10" t="s">
        <v>12</v>
      </c>
      <c r="E6" s="6" t="s">
        <v>13</v>
      </c>
      <c r="F6" s="45">
        <v>0.87511264158095903</v>
      </c>
      <c r="G6" s="45">
        <v>0.84250234599999996</v>
      </c>
      <c r="H6" s="152">
        <v>0.89227908328426342</v>
      </c>
      <c r="I6" s="153">
        <v>0.86328440660000005</v>
      </c>
    </row>
    <row r="7" spans="2:9" x14ac:dyDescent="0.2">
      <c r="B7" s="242"/>
      <c r="C7" s="9" t="s">
        <v>14</v>
      </c>
      <c r="D7" s="10" t="s">
        <v>15</v>
      </c>
      <c r="E7" s="6" t="s">
        <v>16</v>
      </c>
      <c r="F7" s="46">
        <v>-193.64546706076399</v>
      </c>
      <c r="G7" s="46">
        <v>-205.65786589999999</v>
      </c>
      <c r="H7" s="154">
        <v>-191.26005986143829</v>
      </c>
      <c r="I7" s="155">
        <v>-208.4300963</v>
      </c>
    </row>
    <row r="8" spans="2:9" x14ac:dyDescent="0.2">
      <c r="B8" s="242"/>
      <c r="C8" s="9" t="s">
        <v>17</v>
      </c>
      <c r="D8" s="10" t="s">
        <v>18</v>
      </c>
      <c r="E8" s="6" t="s">
        <v>19</v>
      </c>
      <c r="F8" s="47"/>
      <c r="G8" s="47" t="s">
        <v>231</v>
      </c>
      <c r="H8" s="156">
        <v>0</v>
      </c>
      <c r="I8" s="129"/>
    </row>
    <row r="9" spans="2:9" x14ac:dyDescent="0.2">
      <c r="B9" s="242"/>
      <c r="C9" s="9"/>
      <c r="D9" s="10" t="s">
        <v>20</v>
      </c>
      <c r="E9" s="6" t="s">
        <v>19</v>
      </c>
      <c r="F9" s="44">
        <v>91.642102817097495</v>
      </c>
      <c r="G9" s="44">
        <v>95.676423</v>
      </c>
      <c r="H9" s="150">
        <v>90.526165297941617</v>
      </c>
      <c r="I9" s="151">
        <v>95.5822</v>
      </c>
    </row>
    <row r="10" spans="2:9" x14ac:dyDescent="0.2">
      <c r="B10" s="242"/>
      <c r="C10" s="9" t="s">
        <v>21</v>
      </c>
      <c r="D10" s="10" t="s">
        <v>22</v>
      </c>
      <c r="E10" s="6" t="s">
        <v>16</v>
      </c>
      <c r="F10" s="44">
        <v>315.17233388310001</v>
      </c>
      <c r="G10" s="44">
        <v>386.90310620000002</v>
      </c>
      <c r="H10" s="150">
        <v>381.40684330751083</v>
      </c>
      <c r="I10" s="151">
        <v>395.99399749999998</v>
      </c>
    </row>
    <row r="11" spans="2:9" x14ac:dyDescent="0.2">
      <c r="B11" s="242"/>
      <c r="C11" s="9" t="s">
        <v>23</v>
      </c>
      <c r="D11" s="10" t="s">
        <v>24</v>
      </c>
      <c r="E11" s="6" t="s">
        <v>25</v>
      </c>
      <c r="F11" s="48">
        <f>2.68045683316238*1000</f>
        <v>2680.45683316238</v>
      </c>
      <c r="G11" s="48">
        <v>2715.706295</v>
      </c>
      <c r="H11" s="157">
        <v>2628.7841286923608</v>
      </c>
      <c r="I11" s="158">
        <v>2768.295717</v>
      </c>
    </row>
    <row r="12" spans="2:9" x14ac:dyDescent="0.2">
      <c r="B12" s="242"/>
      <c r="C12" s="9"/>
      <c r="D12" s="10" t="s">
        <v>26</v>
      </c>
      <c r="E12" s="6" t="s">
        <v>25</v>
      </c>
      <c r="F12" s="48">
        <f>14.9478790005883*1000</f>
        <v>14947.8790005883</v>
      </c>
      <c r="G12" s="48">
        <v>14308.76124</v>
      </c>
      <c r="H12" s="157">
        <v>15307.62875630093</v>
      </c>
      <c r="I12" s="158">
        <v>14767.12291</v>
      </c>
    </row>
    <row r="13" spans="2:9" x14ac:dyDescent="0.2">
      <c r="B13" s="242"/>
      <c r="C13" s="9" t="s">
        <v>27</v>
      </c>
      <c r="D13" s="10" t="s">
        <v>28</v>
      </c>
      <c r="E13" s="6" t="s">
        <v>13</v>
      </c>
      <c r="F13" s="45"/>
      <c r="G13" s="45" t="s">
        <v>231</v>
      </c>
      <c r="H13" s="152">
        <v>0.62488584474885844</v>
      </c>
      <c r="I13" s="153"/>
    </row>
    <row r="14" spans="2:9" x14ac:dyDescent="0.2">
      <c r="B14" s="242"/>
      <c r="C14" s="9" t="s">
        <v>29</v>
      </c>
      <c r="D14" s="10" t="s">
        <v>30</v>
      </c>
      <c r="E14" s="6" t="s">
        <v>13</v>
      </c>
      <c r="F14" s="45"/>
      <c r="G14" s="45" t="s">
        <v>231</v>
      </c>
      <c r="H14" s="152">
        <v>0</v>
      </c>
      <c r="I14" s="153"/>
    </row>
    <row r="15" spans="2:9" x14ac:dyDescent="0.2">
      <c r="B15" s="242"/>
      <c r="C15" s="9" t="s">
        <v>31</v>
      </c>
      <c r="D15" s="10" t="s">
        <v>32</v>
      </c>
      <c r="E15" s="6" t="s">
        <v>13</v>
      </c>
      <c r="F15" s="45"/>
      <c r="G15" s="45" t="s">
        <v>231</v>
      </c>
      <c r="H15" s="152">
        <v>0</v>
      </c>
      <c r="I15" s="153"/>
    </row>
    <row r="16" spans="2:9" x14ac:dyDescent="0.2">
      <c r="B16" s="242"/>
      <c r="C16" s="9" t="s">
        <v>33</v>
      </c>
      <c r="D16" s="10" t="s">
        <v>34</v>
      </c>
      <c r="E16" s="6" t="s">
        <v>35</v>
      </c>
      <c r="F16" s="48">
        <v>2000.44582258542</v>
      </c>
      <c r="G16" s="48">
        <v>1938.9958690000001</v>
      </c>
      <c r="H16" s="157">
        <v>1877.1239273995579</v>
      </c>
      <c r="I16" s="158">
        <v>1939.1985460000001</v>
      </c>
    </row>
    <row r="17" spans="2:9" x14ac:dyDescent="0.2">
      <c r="B17" s="242"/>
      <c r="C17" s="9" t="s">
        <v>36</v>
      </c>
      <c r="D17" s="10" t="s">
        <v>37</v>
      </c>
      <c r="E17" s="6" t="s">
        <v>13</v>
      </c>
      <c r="F17" s="45">
        <v>0.38774335889173001</v>
      </c>
      <c r="G17" s="45">
        <v>0.38866964900000001</v>
      </c>
      <c r="H17" s="152">
        <v>0.39161795510494318</v>
      </c>
      <c r="I17" s="153">
        <v>0.38774335900000001</v>
      </c>
    </row>
    <row r="18" spans="2:9" x14ac:dyDescent="0.2">
      <c r="B18" s="242"/>
      <c r="C18" s="9" t="s">
        <v>38</v>
      </c>
      <c r="D18" s="10" t="s">
        <v>39</v>
      </c>
      <c r="E18" s="6" t="s">
        <v>13</v>
      </c>
      <c r="F18" s="45">
        <v>0.65551340715532003</v>
      </c>
      <c r="G18" s="45">
        <v>0.633201982</v>
      </c>
      <c r="H18" s="152">
        <v>0.56905913745586023</v>
      </c>
      <c r="I18" s="153">
        <v>0.73307792650000003</v>
      </c>
    </row>
    <row r="19" spans="2:9" x14ac:dyDescent="0.2">
      <c r="B19" s="242"/>
      <c r="C19" s="9" t="s">
        <v>40</v>
      </c>
      <c r="D19" s="10" t="s">
        <v>41</v>
      </c>
      <c r="E19" s="6" t="s">
        <v>13</v>
      </c>
      <c r="F19" s="45">
        <v>0.34448659284469901</v>
      </c>
      <c r="G19" s="45">
        <v>0.342001518</v>
      </c>
      <c r="H19" s="152">
        <v>0.40359717453299288</v>
      </c>
      <c r="I19" s="153">
        <v>0.24203851579999999</v>
      </c>
    </row>
    <row r="20" spans="2:9" x14ac:dyDescent="0.2">
      <c r="B20" s="242"/>
      <c r="C20" s="9" t="s">
        <v>42</v>
      </c>
      <c r="D20" s="10" t="s">
        <v>43</v>
      </c>
      <c r="E20" s="6" t="s">
        <v>13</v>
      </c>
      <c r="F20" s="45">
        <v>0</v>
      </c>
      <c r="G20" s="45">
        <v>2.4796500999999999E-2</v>
      </c>
      <c r="H20" s="152">
        <v>2.734368801114561E-2</v>
      </c>
      <c r="I20" s="153">
        <v>2.4883557640000002E-2</v>
      </c>
    </row>
    <row r="21" spans="2:9" x14ac:dyDescent="0.2">
      <c r="B21" s="242"/>
      <c r="C21" s="9"/>
      <c r="D21" s="10" t="s">
        <v>44</v>
      </c>
      <c r="E21" s="6" t="s">
        <v>8</v>
      </c>
      <c r="F21" s="44">
        <v>199.28189739593199</v>
      </c>
      <c r="G21" s="44">
        <v>185.45327130000001</v>
      </c>
      <c r="H21" s="150">
        <v>176.3932118081317</v>
      </c>
      <c r="I21" s="151">
        <v>219.8499405</v>
      </c>
    </row>
    <row r="22" spans="2:9" x14ac:dyDescent="0.2">
      <c r="B22" s="242"/>
      <c r="C22" s="9"/>
      <c r="D22" s="10" t="s">
        <v>45</v>
      </c>
      <c r="E22" s="6" t="s">
        <v>8</v>
      </c>
      <c r="F22" s="44">
        <v>104.72698361344899</v>
      </c>
      <c r="G22" s="44">
        <v>100.1659851</v>
      </c>
      <c r="H22" s="150">
        <v>125.1043998886386</v>
      </c>
      <c r="I22" s="151">
        <v>72.587308089999993</v>
      </c>
    </row>
    <row r="23" spans="2:9" x14ac:dyDescent="0.2">
      <c r="B23" s="242"/>
      <c r="C23" s="9"/>
      <c r="D23" s="10" t="s">
        <v>46</v>
      </c>
      <c r="E23" s="6" t="s">
        <v>8</v>
      </c>
      <c r="F23" s="44">
        <v>0</v>
      </c>
      <c r="G23" s="44">
        <v>7.2624412679999999</v>
      </c>
      <c r="H23" s="150">
        <v>8.475816718327625</v>
      </c>
      <c r="I23" s="151">
        <v>7.462574536</v>
      </c>
    </row>
    <row r="24" spans="2:9" x14ac:dyDescent="0.2">
      <c r="B24" s="242"/>
      <c r="C24" s="9" t="s">
        <v>47</v>
      </c>
      <c r="D24" s="10" t="s">
        <v>48</v>
      </c>
      <c r="E24" s="6" t="s">
        <v>8</v>
      </c>
      <c r="F24" s="44">
        <v>70.761437749949394</v>
      </c>
      <c r="G24" s="44">
        <v>48.920131900000001</v>
      </c>
      <c r="H24" s="150">
        <v>31.260705404994908</v>
      </c>
      <c r="I24" s="151">
        <v>89.300324950000004</v>
      </c>
    </row>
    <row r="25" spans="2:9" x14ac:dyDescent="0.2">
      <c r="B25" s="242"/>
      <c r="C25" s="9" t="s">
        <v>49</v>
      </c>
      <c r="D25" s="10" t="s">
        <v>50</v>
      </c>
      <c r="E25" s="6" t="s">
        <v>8</v>
      </c>
      <c r="F25" s="44">
        <v>0</v>
      </c>
      <c r="G25" s="44" t="s">
        <v>231</v>
      </c>
      <c r="H25" s="150">
        <v>0</v>
      </c>
      <c r="I25" s="151"/>
    </row>
    <row r="26" spans="2:9" x14ac:dyDescent="0.2">
      <c r="B26" s="242"/>
      <c r="C26" s="9" t="s">
        <v>51</v>
      </c>
      <c r="D26" s="10" t="s">
        <v>52</v>
      </c>
      <c r="E26" s="6" t="s">
        <v>8</v>
      </c>
      <c r="F26" s="44">
        <v>11.485741509579301</v>
      </c>
      <c r="G26" s="44">
        <v>8.5314752390000006</v>
      </c>
      <c r="H26" s="150">
        <v>8.2557056589767956</v>
      </c>
      <c r="I26" s="151">
        <v>7.6863155040000004</v>
      </c>
    </row>
    <row r="27" spans="2:9" x14ac:dyDescent="0.2">
      <c r="B27" s="242"/>
      <c r="C27" s="9" t="s">
        <v>53</v>
      </c>
      <c r="D27" s="10" t="s">
        <v>54</v>
      </c>
      <c r="E27" s="6" t="s">
        <v>13</v>
      </c>
      <c r="F27" s="45">
        <f>F4*1000/((F106+F94+F95)*8760)</f>
        <v>0.28687823335582341</v>
      </c>
      <c r="G27" s="45">
        <v>0.27750209399999998</v>
      </c>
      <c r="H27" s="152">
        <v>0.29250668347491082</v>
      </c>
      <c r="I27" s="153">
        <v>30.77021848</v>
      </c>
    </row>
    <row r="28" spans="2:9" x14ac:dyDescent="0.2">
      <c r="B28" s="242"/>
      <c r="C28" s="9" t="s">
        <v>55</v>
      </c>
      <c r="D28" s="10" t="s">
        <v>56</v>
      </c>
      <c r="E28" s="6" t="s">
        <v>13</v>
      </c>
      <c r="F28" s="45">
        <f>F4*F18*1000/((F94)*8760)</f>
        <v>0.63387114701690184</v>
      </c>
      <c r="G28" s="45">
        <v>0.58930290699999999</v>
      </c>
      <c r="H28" s="152">
        <v>0.56106735712512423</v>
      </c>
      <c r="I28" s="153">
        <v>66.572740510000003</v>
      </c>
    </row>
    <row r="29" spans="2:9" x14ac:dyDescent="0.2">
      <c r="B29" s="242"/>
      <c r="C29" s="9" t="s">
        <v>57</v>
      </c>
      <c r="D29" s="10" t="s">
        <v>58</v>
      </c>
      <c r="E29" s="6" t="s">
        <v>13</v>
      </c>
      <c r="F29" s="45">
        <f>F4*F19*1000/((F95)*8760)</f>
        <v>0.15488105953484094</v>
      </c>
      <c r="G29" s="45">
        <v>0.149174005</v>
      </c>
      <c r="H29" s="152">
        <v>0.24345822578003479</v>
      </c>
      <c r="I29" s="153">
        <v>8.2576611169999996</v>
      </c>
    </row>
    <row r="30" spans="2:9" ht="16" thickBot="1" x14ac:dyDescent="0.25">
      <c r="B30" s="243"/>
      <c r="C30" s="9" t="s">
        <v>59</v>
      </c>
      <c r="D30" s="15" t="s">
        <v>60</v>
      </c>
      <c r="E30" s="6" t="s">
        <v>13</v>
      </c>
      <c r="F30" s="45">
        <v>0</v>
      </c>
      <c r="G30" s="45">
        <v>0.10487067799999999</v>
      </c>
      <c r="H30" s="152">
        <v>0.1225740881836334</v>
      </c>
      <c r="I30" s="153">
        <v>10.792096730000001</v>
      </c>
    </row>
    <row r="31" spans="2:9" x14ac:dyDescent="0.2">
      <c r="B31" s="236" t="s">
        <v>61</v>
      </c>
      <c r="C31" s="4" t="s">
        <v>62</v>
      </c>
      <c r="D31" s="10" t="s">
        <v>63</v>
      </c>
      <c r="E31" s="16" t="s">
        <v>16</v>
      </c>
      <c r="F31" s="49">
        <v>315.17233388310001</v>
      </c>
      <c r="G31" s="49">
        <v>309.7302947</v>
      </c>
      <c r="H31" s="159">
        <v>309.12486284882038</v>
      </c>
      <c r="I31" s="134">
        <v>318.21514569999999</v>
      </c>
    </row>
    <row r="32" spans="2:9" x14ac:dyDescent="0.2">
      <c r="B32" s="244"/>
      <c r="C32" s="9" t="s">
        <v>64</v>
      </c>
      <c r="D32" s="10" t="s">
        <v>65</v>
      </c>
      <c r="E32" s="6" t="s">
        <v>16</v>
      </c>
      <c r="F32" s="50">
        <v>54.807909680385102</v>
      </c>
      <c r="G32" s="50">
        <v>54.298325470000002</v>
      </c>
      <c r="H32" s="160">
        <v>54.67436346364417</v>
      </c>
      <c r="I32" s="135">
        <v>54.807996189999997</v>
      </c>
    </row>
    <row r="33" spans="2:9" x14ac:dyDescent="0.2">
      <c r="B33" s="244"/>
      <c r="C33" s="9" t="s">
        <v>66</v>
      </c>
      <c r="D33" s="10" t="s">
        <v>67</v>
      </c>
      <c r="E33" s="6" t="s">
        <v>16</v>
      </c>
      <c r="F33" s="35">
        <v>7.6418345231567901</v>
      </c>
      <c r="G33" s="35">
        <v>22.874486040000001</v>
      </c>
      <c r="H33" s="161">
        <v>17.607616995046129</v>
      </c>
      <c r="I33" s="162">
        <v>22.970855579999998</v>
      </c>
    </row>
    <row r="34" spans="2:9" x14ac:dyDescent="0.2">
      <c r="B34" s="244"/>
      <c r="C34" s="9" t="s">
        <v>68</v>
      </c>
      <c r="D34" s="10" t="s">
        <v>69</v>
      </c>
      <c r="E34" s="6" t="s">
        <v>16</v>
      </c>
      <c r="F34" s="35">
        <v>17.209668811548301</v>
      </c>
      <c r="G34" s="35">
        <v>16.962975669999999</v>
      </c>
      <c r="H34" s="161">
        <v>17.083199927000791</v>
      </c>
      <c r="I34" s="162">
        <v>16.4874607</v>
      </c>
    </row>
    <row r="35" spans="2:9" x14ac:dyDescent="0.2">
      <c r="B35" s="244"/>
      <c r="C35" s="9" t="s">
        <v>70</v>
      </c>
      <c r="D35" s="10" t="s">
        <v>71</v>
      </c>
      <c r="E35" s="6" t="s">
        <v>16</v>
      </c>
      <c r="F35" s="50">
        <v>54.064722397228998</v>
      </c>
      <c r="G35" s="50">
        <v>52.912047540000003</v>
      </c>
      <c r="H35" s="160">
        <v>53.399773575368748</v>
      </c>
      <c r="I35" s="135">
        <v>55.31801608</v>
      </c>
    </row>
    <row r="36" spans="2:9" x14ac:dyDescent="0.2">
      <c r="B36" s="244"/>
      <c r="C36" s="9" t="s">
        <v>72</v>
      </c>
      <c r="D36" s="10" t="s">
        <v>73</v>
      </c>
      <c r="E36" s="6" t="s">
        <v>16</v>
      </c>
      <c r="F36" s="35">
        <v>70.217805993480894</v>
      </c>
      <c r="G36" s="35">
        <v>68.474267740000002</v>
      </c>
      <c r="H36" s="161">
        <v>69.516908834832137</v>
      </c>
      <c r="I36" s="162">
        <v>71.180937020000002</v>
      </c>
    </row>
    <row r="37" spans="2:9" x14ac:dyDescent="0.2">
      <c r="B37" s="244"/>
      <c r="C37" s="9" t="s">
        <v>74</v>
      </c>
      <c r="D37" s="10" t="s">
        <v>75</v>
      </c>
      <c r="E37" s="6" t="s">
        <v>16</v>
      </c>
      <c r="F37" s="50">
        <v>5.8982957034523897</v>
      </c>
      <c r="G37" s="50">
        <v>5.7061889790000002</v>
      </c>
      <c r="H37" s="160">
        <v>5.7930757289453121</v>
      </c>
      <c r="I37" s="135">
        <v>5.9317447520000002</v>
      </c>
    </row>
    <row r="38" spans="2:9" x14ac:dyDescent="0.2">
      <c r="B38" s="244"/>
      <c r="C38" s="9" t="s">
        <v>76</v>
      </c>
      <c r="D38" s="10" t="s">
        <v>77</v>
      </c>
      <c r="E38" s="6" t="s">
        <v>16</v>
      </c>
      <c r="F38" s="35">
        <v>34.440872040990897</v>
      </c>
      <c r="G38" s="35">
        <v>34.099884000000003</v>
      </c>
      <c r="H38" s="161">
        <v>34.100120370516663</v>
      </c>
      <c r="I38" s="162">
        <v>36.080912169999998</v>
      </c>
    </row>
    <row r="39" spans="2:9" x14ac:dyDescent="0.2">
      <c r="B39" s="244"/>
      <c r="C39" s="9" t="s">
        <v>78</v>
      </c>
      <c r="D39" s="10" t="s">
        <v>79</v>
      </c>
      <c r="E39" s="6" t="s">
        <v>16</v>
      </c>
      <c r="F39" s="35">
        <v>71.794231930709202</v>
      </c>
      <c r="G39" s="35">
        <v>73.119697169999995</v>
      </c>
      <c r="H39" s="161">
        <v>70.765040065589574</v>
      </c>
      <c r="I39" s="162">
        <v>73.105169419999996</v>
      </c>
    </row>
    <row r="40" spans="2:9" x14ac:dyDescent="0.2">
      <c r="B40" s="244"/>
      <c r="C40" s="9" t="s">
        <v>80</v>
      </c>
      <c r="D40" s="10" t="s">
        <v>81</v>
      </c>
      <c r="E40" s="6" t="s">
        <v>16</v>
      </c>
      <c r="F40" s="50">
        <v>0</v>
      </c>
      <c r="G40" s="50" t="s">
        <v>231</v>
      </c>
      <c r="H40" s="160">
        <v>0</v>
      </c>
      <c r="I40" s="135"/>
    </row>
    <row r="41" spans="2:9" x14ac:dyDescent="0.2">
      <c r="B41" s="244"/>
      <c r="C41" s="9" t="s">
        <v>82</v>
      </c>
      <c r="D41" s="10" t="s">
        <v>83</v>
      </c>
      <c r="E41" s="6" t="s">
        <v>16</v>
      </c>
      <c r="F41" s="50">
        <v>0</v>
      </c>
      <c r="G41" s="50" t="s">
        <v>231</v>
      </c>
      <c r="H41" s="160">
        <v>0</v>
      </c>
      <c r="I41" s="135"/>
    </row>
    <row r="42" spans="2:9" x14ac:dyDescent="0.2">
      <c r="B42" s="244"/>
      <c r="C42" s="9" t="s">
        <v>84</v>
      </c>
      <c r="D42" s="10" t="s">
        <v>85</v>
      </c>
      <c r="E42" s="6" t="s">
        <v>16</v>
      </c>
      <c r="F42" s="50">
        <v>9.1004096581107703</v>
      </c>
      <c r="G42" s="50">
        <v>8.2002213249999993</v>
      </c>
      <c r="H42" s="160">
        <v>8.3351206461165752</v>
      </c>
      <c r="I42" s="135">
        <v>8.4900575689999993</v>
      </c>
    </row>
    <row r="43" spans="2:9" x14ac:dyDescent="0.2">
      <c r="B43" s="244"/>
      <c r="C43" s="9" t="s">
        <v>86</v>
      </c>
      <c r="D43" s="10" t="s">
        <v>87</v>
      </c>
      <c r="E43" s="6" t="s">
        <v>25</v>
      </c>
      <c r="F43" s="51">
        <f>1.20587429340471*1000</f>
        <v>1205.87429340471</v>
      </c>
      <c r="G43" s="51">
        <v>1206.24</v>
      </c>
      <c r="H43" s="163">
        <v>1205.8742934047159</v>
      </c>
      <c r="I43" s="164">
        <v>1205.874292</v>
      </c>
    </row>
    <row r="44" spans="2:9" x14ac:dyDescent="0.2">
      <c r="B44" s="244"/>
      <c r="C44" s="9" t="s">
        <v>88</v>
      </c>
      <c r="D44" s="10" t="s">
        <v>89</v>
      </c>
      <c r="E44" s="6" t="s">
        <v>25</v>
      </c>
      <c r="F44" s="51">
        <f>0.585888778344041*1000</f>
        <v>585.88877834404093</v>
      </c>
      <c r="G44" s="51">
        <v>614.40095410000004</v>
      </c>
      <c r="H44" s="163">
        <v>517.70563464517522</v>
      </c>
      <c r="I44" s="164">
        <v>660.60039670000003</v>
      </c>
    </row>
    <row r="45" spans="2:9" x14ac:dyDescent="0.2">
      <c r="B45" s="244"/>
      <c r="C45" s="9" t="s">
        <v>90</v>
      </c>
      <c r="D45" s="10" t="s">
        <v>91</v>
      </c>
      <c r="E45" s="6" t="s">
        <v>16</v>
      </c>
      <c r="F45" s="50">
        <v>253.62559687741</v>
      </c>
      <c r="G45" s="50">
        <v>251.27506109999999</v>
      </c>
      <c r="H45" s="160">
        <v>250.65811850225319</v>
      </c>
      <c r="I45" s="135">
        <v>258.10424010000003</v>
      </c>
    </row>
    <row r="46" spans="2:9" x14ac:dyDescent="0.2">
      <c r="B46" s="244"/>
      <c r="C46" s="9" t="s">
        <v>92</v>
      </c>
      <c r="D46" s="10" t="s">
        <v>93</v>
      </c>
      <c r="E46" s="6" t="s">
        <v>16</v>
      </c>
      <c r="F46" s="50">
        <v>23.6013501195815</v>
      </c>
      <c r="G46" s="50">
        <v>23.440012240000001</v>
      </c>
      <c r="H46" s="160">
        <v>23.601350119581561</v>
      </c>
      <c r="I46" s="135">
        <v>23.60135004</v>
      </c>
    </row>
    <row r="47" spans="2:9" x14ac:dyDescent="0.2">
      <c r="B47" s="244"/>
      <c r="C47" s="9" t="s">
        <v>94</v>
      </c>
      <c r="D47" s="10" t="s">
        <v>95</v>
      </c>
      <c r="E47" s="6" t="s">
        <v>16</v>
      </c>
      <c r="F47" s="50">
        <v>17.701012589686101</v>
      </c>
      <c r="G47" s="50">
        <v>17.580009180000001</v>
      </c>
      <c r="H47" s="160">
        <v>17.701012589686169</v>
      </c>
      <c r="I47" s="135">
        <v>17.70101253</v>
      </c>
    </row>
    <row r="48" spans="2:9" x14ac:dyDescent="0.2">
      <c r="B48" s="244"/>
      <c r="C48" s="9" t="s">
        <v>96</v>
      </c>
      <c r="D48" s="10" t="s">
        <v>97</v>
      </c>
      <c r="E48" s="6" t="s">
        <v>16</v>
      </c>
      <c r="F48" s="51">
        <v>0</v>
      </c>
      <c r="G48" s="51">
        <v>0</v>
      </c>
      <c r="H48" s="163">
        <v>0</v>
      </c>
      <c r="I48" s="164"/>
    </row>
    <row r="49" spans="2:11" x14ac:dyDescent="0.2">
      <c r="B49" s="244"/>
      <c r="C49" s="9" t="s">
        <v>98</v>
      </c>
      <c r="D49" s="10" t="s">
        <v>99</v>
      </c>
      <c r="E49" s="6" t="s">
        <v>16</v>
      </c>
      <c r="F49" s="50">
        <v>3.2419436977447198</v>
      </c>
      <c r="G49" s="50">
        <v>3.2171769000000001</v>
      </c>
      <c r="H49" s="160">
        <v>3.2419436977447189</v>
      </c>
      <c r="I49" s="135">
        <v>3.2419436859999999</v>
      </c>
    </row>
    <row r="50" spans="2:11" x14ac:dyDescent="0.2">
      <c r="B50" s="244"/>
      <c r="C50" s="9" t="s">
        <v>100</v>
      </c>
      <c r="D50" s="10" t="s">
        <v>101</v>
      </c>
      <c r="E50" s="6" t="s">
        <v>16</v>
      </c>
      <c r="F50" s="50">
        <v>4.3392105212400001</v>
      </c>
      <c r="G50" s="50">
        <v>4.3102913669999996</v>
      </c>
      <c r="H50" s="160">
        <v>4.339297223720096</v>
      </c>
      <c r="I50" s="135">
        <v>4.3392972079999996</v>
      </c>
    </row>
    <row r="51" spans="2:11" x14ac:dyDescent="0.2">
      <c r="B51" s="244"/>
      <c r="C51" s="9" t="s">
        <v>102</v>
      </c>
      <c r="D51" s="10" t="s">
        <v>103</v>
      </c>
      <c r="E51" s="6" t="s">
        <v>25</v>
      </c>
      <c r="F51" s="51">
        <f>0.842905361413627*1000</f>
        <v>842.90536141362702</v>
      </c>
      <c r="G51" s="51">
        <v>836.46599400000002</v>
      </c>
      <c r="H51" s="163">
        <v>842.90536141362713</v>
      </c>
      <c r="I51" s="164">
        <v>842.90535839999995</v>
      </c>
    </row>
    <row r="52" spans="2:11" x14ac:dyDescent="0.2">
      <c r="B52" s="244"/>
      <c r="C52" s="9" t="s">
        <v>104</v>
      </c>
      <c r="D52" s="10" t="s">
        <v>105</v>
      </c>
      <c r="E52" s="6" t="s">
        <v>16</v>
      </c>
      <c r="F52" s="50">
        <v>44.5443064070124</v>
      </c>
      <c r="G52" s="50">
        <v>44.237198329999998</v>
      </c>
      <c r="H52" s="160">
        <v>44.544306407012463</v>
      </c>
      <c r="I52" s="135">
        <v>44.544306249999998</v>
      </c>
    </row>
    <row r="53" spans="2:11" x14ac:dyDescent="0.2">
      <c r="B53" s="244"/>
      <c r="C53" s="9" t="s">
        <v>106</v>
      </c>
      <c r="D53" s="10" t="s">
        <v>107</v>
      </c>
      <c r="E53" s="6" t="s">
        <v>16</v>
      </c>
      <c r="F53" s="50">
        <v>0</v>
      </c>
      <c r="G53" s="50" t="s">
        <v>231</v>
      </c>
      <c r="H53" s="160">
        <v>0</v>
      </c>
      <c r="I53" s="135"/>
    </row>
    <row r="54" spans="2:11" x14ac:dyDescent="0.2">
      <c r="B54" s="244"/>
      <c r="C54" s="9" t="s">
        <v>108</v>
      </c>
      <c r="D54" s="10" t="s">
        <v>109</v>
      </c>
      <c r="E54" s="6" t="s">
        <v>16</v>
      </c>
      <c r="F54" s="50">
        <v>1.4931000000000001</v>
      </c>
      <c r="G54" s="50">
        <v>1.4931000000000001</v>
      </c>
      <c r="H54" s="160">
        <v>1.491902987692747</v>
      </c>
      <c r="I54" s="135">
        <v>1.491902874</v>
      </c>
    </row>
    <row r="55" spans="2:11" x14ac:dyDescent="0.2">
      <c r="B55" s="244"/>
      <c r="C55" s="9" t="s">
        <v>110</v>
      </c>
      <c r="D55" s="10" t="s">
        <v>111</v>
      </c>
      <c r="E55" s="6" t="s">
        <v>16</v>
      </c>
      <c r="F55" s="50">
        <v>5.25167892599893</v>
      </c>
      <c r="G55" s="50">
        <v>4.6874520000000004</v>
      </c>
      <c r="H55" s="160">
        <v>4.6966863182753169</v>
      </c>
      <c r="I55" s="135">
        <v>4.6956155400000004</v>
      </c>
      <c r="K55" s="18"/>
    </row>
    <row r="56" spans="2:11" x14ac:dyDescent="0.2">
      <c r="B56" s="244"/>
      <c r="C56" s="9" t="s">
        <v>112</v>
      </c>
      <c r="D56" s="10" t="s">
        <v>113</v>
      </c>
      <c r="E56" s="6" t="s">
        <v>16</v>
      </c>
      <c r="F56" s="35">
        <v>0</v>
      </c>
      <c r="G56" s="35">
        <v>14.062355999999999</v>
      </c>
      <c r="H56" s="161">
        <v>9.3933726365506338</v>
      </c>
      <c r="I56" s="162">
        <v>14.086846619999999</v>
      </c>
    </row>
    <row r="57" spans="2:11" x14ac:dyDescent="0.2">
      <c r="B57" s="244"/>
      <c r="C57" s="9" t="s">
        <v>114</v>
      </c>
      <c r="D57" s="10" t="s">
        <v>115</v>
      </c>
      <c r="E57" s="6" t="s">
        <v>25</v>
      </c>
      <c r="F57" s="35">
        <v>45.788400000000003</v>
      </c>
      <c r="G57" s="35">
        <v>45.788400000000003</v>
      </c>
      <c r="H57" s="161">
        <v>45.75169162257756</v>
      </c>
      <c r="I57" s="162">
        <v>45.751688139999999</v>
      </c>
    </row>
    <row r="58" spans="2:11" x14ac:dyDescent="0.2">
      <c r="B58" s="244"/>
      <c r="C58" s="9" t="s">
        <v>116</v>
      </c>
      <c r="D58" s="10" t="s">
        <v>117</v>
      </c>
      <c r="E58" s="20" t="s">
        <v>25</v>
      </c>
      <c r="F58" s="50">
        <v>0</v>
      </c>
      <c r="G58" s="50">
        <v>12.810946400000001</v>
      </c>
      <c r="H58" s="160">
        <v>16.547147606279569</v>
      </c>
      <c r="I58" s="135">
        <v>13.16398148</v>
      </c>
    </row>
    <row r="59" spans="2:11" x14ac:dyDescent="0.2">
      <c r="B59" s="244"/>
      <c r="C59" s="9" t="s">
        <v>118</v>
      </c>
      <c r="D59" s="10" t="s">
        <v>119</v>
      </c>
      <c r="E59" s="6" t="s">
        <v>16</v>
      </c>
      <c r="F59" s="50">
        <v>6.7447789259989301</v>
      </c>
      <c r="G59" s="50">
        <v>20.242908</v>
      </c>
      <c r="H59" s="160">
        <v>15.581961942518699</v>
      </c>
      <c r="I59" s="135">
        <v>20.274365029999998</v>
      </c>
    </row>
    <row r="60" spans="2:11" ht="16" thickBot="1" x14ac:dyDescent="0.25">
      <c r="B60" s="244"/>
      <c r="C60" s="9" t="s">
        <v>120</v>
      </c>
      <c r="D60" s="10" t="s">
        <v>121</v>
      </c>
      <c r="E60" s="6" t="s">
        <v>122</v>
      </c>
      <c r="F60" s="50"/>
      <c r="G60" s="50">
        <v>28.021873190000001</v>
      </c>
      <c r="H60" s="160">
        <v>28.060705818674862</v>
      </c>
      <c r="I60" s="135">
        <v>28.664999999999999</v>
      </c>
    </row>
    <row r="61" spans="2:11" x14ac:dyDescent="0.2">
      <c r="B61" s="236" t="s">
        <v>123</v>
      </c>
      <c r="C61" s="4" t="s">
        <v>124</v>
      </c>
      <c r="D61" s="5" t="s">
        <v>125</v>
      </c>
      <c r="E61" s="16" t="s">
        <v>126</v>
      </c>
      <c r="F61" s="52">
        <v>398.577380023393</v>
      </c>
      <c r="G61" s="52">
        <v>389.84998059999998</v>
      </c>
      <c r="H61" s="165">
        <v>394.60737516076853</v>
      </c>
      <c r="I61" s="166">
        <v>395.68765079999997</v>
      </c>
    </row>
    <row r="62" spans="2:11" x14ac:dyDescent="0.2">
      <c r="B62" s="244"/>
      <c r="C62" s="9" t="s">
        <v>127</v>
      </c>
      <c r="D62" s="10" t="s">
        <v>128</v>
      </c>
      <c r="E62" s="6" t="s">
        <v>129</v>
      </c>
      <c r="F62" s="53">
        <v>702178.05993480806</v>
      </c>
      <c r="G62" s="53">
        <v>679308.21180000005</v>
      </c>
      <c r="H62" s="167">
        <v>689651.87249348941</v>
      </c>
      <c r="I62" s="138">
        <v>706160.0895</v>
      </c>
    </row>
    <row r="63" spans="2:11" x14ac:dyDescent="0.2">
      <c r="B63" s="244"/>
      <c r="C63" s="9" t="s">
        <v>130</v>
      </c>
      <c r="D63" s="10" t="s">
        <v>131</v>
      </c>
      <c r="E63" s="6" t="s">
        <v>129</v>
      </c>
      <c r="F63" s="51">
        <v>4380775.5823045596</v>
      </c>
      <c r="G63" s="51">
        <v>3950010.2719999999</v>
      </c>
      <c r="H63" s="163">
        <v>4015603.1354694418</v>
      </c>
      <c r="I63" s="164">
        <v>4090246.949</v>
      </c>
    </row>
    <row r="64" spans="2:11" x14ac:dyDescent="0.2">
      <c r="B64" s="244"/>
      <c r="C64" s="9" t="s">
        <v>132</v>
      </c>
      <c r="D64" s="10" t="s">
        <v>133</v>
      </c>
      <c r="E64" s="6" t="s">
        <v>13</v>
      </c>
      <c r="F64" s="54">
        <v>0.63457290991885995</v>
      </c>
      <c r="G64" s="54">
        <v>0.637658485</v>
      </c>
      <c r="H64" s="168">
        <v>0.63625636788170636</v>
      </c>
      <c r="I64" s="137"/>
    </row>
    <row r="65" spans="2:9" x14ac:dyDescent="0.2">
      <c r="B65" s="244"/>
      <c r="C65" s="9" t="s">
        <v>134</v>
      </c>
      <c r="D65" s="10" t="s">
        <v>135</v>
      </c>
      <c r="E65" s="6" t="s">
        <v>136</v>
      </c>
      <c r="F65" s="34">
        <v>4718</v>
      </c>
      <c r="G65" s="34">
        <v>4565</v>
      </c>
      <c r="H65" s="169"/>
      <c r="I65" s="140">
        <v>4745</v>
      </c>
    </row>
    <row r="66" spans="2:9" x14ac:dyDescent="0.2">
      <c r="B66" s="244"/>
      <c r="C66" s="9" t="s">
        <v>137</v>
      </c>
      <c r="D66" s="10" t="s">
        <v>138</v>
      </c>
      <c r="E66" s="6" t="s">
        <v>136</v>
      </c>
      <c r="F66" s="50">
        <v>3.7515451593</v>
      </c>
      <c r="G66" s="50"/>
      <c r="H66" s="160">
        <v>3.7515451593415921</v>
      </c>
      <c r="I66" s="135">
        <v>3.751545159</v>
      </c>
    </row>
    <row r="67" spans="2:9" x14ac:dyDescent="0.2">
      <c r="B67" s="244"/>
      <c r="C67" s="9" t="s">
        <v>139</v>
      </c>
      <c r="D67" s="10" t="s">
        <v>140</v>
      </c>
      <c r="E67" s="6" t="s">
        <v>141</v>
      </c>
      <c r="F67" s="35">
        <v>170.018802173518</v>
      </c>
      <c r="G67" s="35">
        <v>168.74107660000001</v>
      </c>
      <c r="H67" s="161">
        <v>169.32267520880561</v>
      </c>
      <c r="I67" s="162">
        <v>166.2248879</v>
      </c>
    </row>
    <row r="68" spans="2:9" x14ac:dyDescent="0.2">
      <c r="B68" s="244"/>
      <c r="C68" s="9" t="s">
        <v>142</v>
      </c>
      <c r="D68" s="40" t="s">
        <v>143</v>
      </c>
      <c r="E68" s="6" t="s">
        <v>126</v>
      </c>
      <c r="F68" s="35">
        <v>347.23905863730698</v>
      </c>
      <c r="G68" s="35">
        <v>339.7039054</v>
      </c>
      <c r="H68" s="161">
        <v>343.80353908531191</v>
      </c>
      <c r="I68" s="162">
        <v>347.23905830000001</v>
      </c>
    </row>
    <row r="69" spans="2:9" x14ac:dyDescent="0.2">
      <c r="B69" s="244"/>
      <c r="C69" s="9" t="s">
        <v>144</v>
      </c>
      <c r="D69" s="10" t="s">
        <v>145</v>
      </c>
      <c r="E69" s="6" t="s">
        <v>141</v>
      </c>
      <c r="F69" s="34"/>
      <c r="G69" s="34"/>
      <c r="H69" s="169"/>
      <c r="I69" s="140">
        <v>16.246627419999999</v>
      </c>
    </row>
    <row r="70" spans="2:9" x14ac:dyDescent="0.2">
      <c r="B70" s="244"/>
      <c r="C70" s="9" t="s">
        <v>146</v>
      </c>
      <c r="D70" s="10" t="s">
        <v>147</v>
      </c>
      <c r="E70" s="6" t="s">
        <v>141</v>
      </c>
      <c r="F70" s="34"/>
      <c r="G70" s="34"/>
      <c r="H70" s="169"/>
      <c r="I70" s="140">
        <v>16.246627419999999</v>
      </c>
    </row>
    <row r="71" spans="2:9" x14ac:dyDescent="0.2">
      <c r="B71" s="244"/>
      <c r="C71" s="9" t="s">
        <v>148</v>
      </c>
      <c r="D71" s="10" t="s">
        <v>149</v>
      </c>
      <c r="E71" s="6" t="s">
        <v>13</v>
      </c>
      <c r="F71" s="54">
        <v>0.87084608374000205</v>
      </c>
      <c r="G71" s="54">
        <v>0.87137084099999995</v>
      </c>
      <c r="H71" s="168">
        <v>0.87127477665694797</v>
      </c>
      <c r="I71" s="137">
        <v>87.755849260000005</v>
      </c>
    </row>
    <row r="72" spans="2:9" x14ac:dyDescent="0.2">
      <c r="B72" s="244"/>
      <c r="C72" s="9" t="s">
        <v>150</v>
      </c>
      <c r="D72" s="10" t="s">
        <v>151</v>
      </c>
      <c r="E72" s="6" t="s">
        <v>13</v>
      </c>
      <c r="F72" s="34"/>
      <c r="G72" s="34"/>
      <c r="H72" s="169"/>
      <c r="I72" s="140"/>
    </row>
    <row r="73" spans="2:9" x14ac:dyDescent="0.2">
      <c r="B73" s="244"/>
      <c r="C73" s="9" t="s">
        <v>152</v>
      </c>
      <c r="D73" s="10" t="s">
        <v>153</v>
      </c>
      <c r="E73" s="6" t="s">
        <v>129</v>
      </c>
      <c r="F73" s="35">
        <v>849.58207495523004</v>
      </c>
      <c r="G73" s="35">
        <v>778.19367220000004</v>
      </c>
      <c r="H73" s="161">
        <v>789.12078751521699</v>
      </c>
      <c r="I73" s="162">
        <v>828.81211359999998</v>
      </c>
    </row>
    <row r="74" spans="2:9" x14ac:dyDescent="0.2">
      <c r="B74" s="244"/>
      <c r="C74" s="9" t="s">
        <v>154</v>
      </c>
      <c r="D74" s="10" t="s">
        <v>155</v>
      </c>
      <c r="E74" s="6" t="s">
        <v>156</v>
      </c>
      <c r="F74" s="34">
        <v>881.40152115355897</v>
      </c>
      <c r="G74" s="34">
        <v>862.27494149999995</v>
      </c>
      <c r="H74" s="169"/>
      <c r="I74" s="140">
        <v>887.42553359999999</v>
      </c>
    </row>
    <row r="75" spans="2:9" x14ac:dyDescent="0.2">
      <c r="B75" s="244"/>
      <c r="C75" s="9" t="s">
        <v>157</v>
      </c>
      <c r="D75" s="10" t="s">
        <v>158</v>
      </c>
      <c r="E75" s="6" t="s">
        <v>159</v>
      </c>
      <c r="F75" s="34">
        <v>550</v>
      </c>
      <c r="G75" s="34">
        <v>550</v>
      </c>
      <c r="H75" s="169"/>
      <c r="I75" s="140">
        <v>550</v>
      </c>
    </row>
    <row r="76" spans="2:9" x14ac:dyDescent="0.2">
      <c r="B76" s="244"/>
      <c r="C76" s="9" t="s">
        <v>160</v>
      </c>
      <c r="D76" s="23" t="s">
        <v>160</v>
      </c>
      <c r="E76" s="6" t="s">
        <v>159</v>
      </c>
      <c r="F76" s="34">
        <v>290</v>
      </c>
      <c r="G76" s="34">
        <v>290</v>
      </c>
      <c r="H76" s="169"/>
      <c r="I76" s="140">
        <v>290</v>
      </c>
    </row>
    <row r="77" spans="2:9" x14ac:dyDescent="0.2">
      <c r="B77" s="244"/>
      <c r="C77" s="9" t="s">
        <v>161</v>
      </c>
      <c r="D77" s="10" t="s">
        <v>162</v>
      </c>
      <c r="E77" s="6" t="s">
        <v>126</v>
      </c>
      <c r="F77" s="34"/>
      <c r="G77" s="34"/>
      <c r="H77" s="169">
        <v>0</v>
      </c>
      <c r="I77" s="140"/>
    </row>
    <row r="78" spans="2:9" x14ac:dyDescent="0.2">
      <c r="B78" s="244"/>
      <c r="C78" s="9" t="s">
        <v>163</v>
      </c>
      <c r="D78" s="10" t="s">
        <v>164</v>
      </c>
      <c r="E78" s="6" t="s">
        <v>13</v>
      </c>
      <c r="F78" s="56"/>
      <c r="G78" s="56"/>
      <c r="H78" s="170">
        <v>0.95</v>
      </c>
      <c r="I78" s="171"/>
    </row>
    <row r="79" spans="2:9" x14ac:dyDescent="0.2">
      <c r="B79" s="244"/>
      <c r="C79" s="9" t="s">
        <v>165</v>
      </c>
      <c r="D79" s="10" t="s">
        <v>166</v>
      </c>
      <c r="E79" s="6" t="s">
        <v>156</v>
      </c>
      <c r="F79" s="34"/>
      <c r="G79" s="34">
        <v>0</v>
      </c>
      <c r="H79" s="169"/>
      <c r="I79" s="140"/>
    </row>
    <row r="80" spans="2:9" x14ac:dyDescent="0.2">
      <c r="B80" s="244"/>
      <c r="C80" s="9" t="s">
        <v>167</v>
      </c>
      <c r="D80" s="10" t="s">
        <v>168</v>
      </c>
      <c r="E80" s="6" t="s">
        <v>126</v>
      </c>
      <c r="F80" s="34"/>
      <c r="G80" s="34">
        <v>0</v>
      </c>
      <c r="H80" s="169">
        <v>0</v>
      </c>
      <c r="I80" s="140"/>
    </row>
    <row r="81" spans="2:9" x14ac:dyDescent="0.2">
      <c r="B81" s="244"/>
      <c r="C81" s="9" t="s">
        <v>169</v>
      </c>
      <c r="D81" s="10" t="s">
        <v>170</v>
      </c>
      <c r="E81" s="6" t="s">
        <v>126</v>
      </c>
      <c r="F81" s="34"/>
      <c r="G81" s="34">
        <v>0</v>
      </c>
      <c r="H81" s="169"/>
      <c r="I81" s="140"/>
    </row>
    <row r="82" spans="2:9" x14ac:dyDescent="0.2">
      <c r="B82" s="244"/>
      <c r="C82" s="9" t="s">
        <v>171</v>
      </c>
      <c r="D82" s="10" t="s">
        <v>172</v>
      </c>
      <c r="E82" s="6" t="s">
        <v>173</v>
      </c>
      <c r="F82" s="35">
        <v>21.1</v>
      </c>
      <c r="G82" s="35"/>
      <c r="H82" s="161">
        <v>21.093913798434301</v>
      </c>
      <c r="I82" s="162">
        <v>21.093913000000001</v>
      </c>
    </row>
    <row r="83" spans="2:9" x14ac:dyDescent="0.2">
      <c r="B83" s="244"/>
      <c r="C83" s="9" t="s">
        <v>174</v>
      </c>
      <c r="D83" s="10" t="s">
        <v>175</v>
      </c>
      <c r="E83" s="6" t="s">
        <v>141</v>
      </c>
      <c r="F83" s="34"/>
      <c r="G83" s="34"/>
      <c r="H83" s="169"/>
      <c r="I83" s="140">
        <v>12</v>
      </c>
    </row>
    <row r="84" spans="2:9" x14ac:dyDescent="0.2">
      <c r="B84" s="244"/>
      <c r="C84" s="9" t="s">
        <v>176</v>
      </c>
      <c r="D84" s="10" t="s">
        <v>177</v>
      </c>
      <c r="E84" s="6" t="s">
        <v>141</v>
      </c>
      <c r="F84" s="34"/>
      <c r="G84" s="34"/>
      <c r="H84" s="169"/>
      <c r="I84" s="140"/>
    </row>
    <row r="85" spans="2:9" x14ac:dyDescent="0.2">
      <c r="B85" s="244"/>
      <c r="C85" s="9" t="s">
        <v>178</v>
      </c>
      <c r="D85" s="10" t="s">
        <v>179</v>
      </c>
      <c r="E85" s="6" t="s">
        <v>129</v>
      </c>
      <c r="F85" s="34"/>
      <c r="G85" s="34"/>
      <c r="H85" s="169"/>
      <c r="I85" s="140"/>
    </row>
    <row r="86" spans="2:9" x14ac:dyDescent="0.2">
      <c r="B86" s="244"/>
      <c r="C86" s="9" t="s">
        <v>180</v>
      </c>
      <c r="D86" s="40" t="s">
        <v>181</v>
      </c>
      <c r="E86" s="6" t="s">
        <v>182</v>
      </c>
      <c r="F86" s="35">
        <f>F87*F82</f>
        <v>1952.9937202016913</v>
      </c>
      <c r="G86" s="35">
        <v>1933.1</v>
      </c>
      <c r="H86" s="161">
        <v>1933.1133996891531</v>
      </c>
      <c r="I86" s="162">
        <v>1952.43031</v>
      </c>
    </row>
    <row r="87" spans="2:9" x14ac:dyDescent="0.2">
      <c r="B87" s="244"/>
      <c r="C87" s="9" t="s">
        <v>183</v>
      </c>
      <c r="D87" s="10" t="s">
        <v>184</v>
      </c>
      <c r="E87" s="6" t="s">
        <v>126</v>
      </c>
      <c r="F87" s="50">
        <v>92.558944085388205</v>
      </c>
      <c r="G87" s="50">
        <v>92.366358239999997</v>
      </c>
      <c r="H87" s="160">
        <v>91.643182870721589</v>
      </c>
      <c r="I87" s="135">
        <v>92.558943999999997</v>
      </c>
    </row>
    <row r="88" spans="2:9" x14ac:dyDescent="0.2">
      <c r="B88" s="244"/>
      <c r="C88" s="9" t="s">
        <v>36</v>
      </c>
      <c r="D88" s="10" t="s">
        <v>185</v>
      </c>
      <c r="E88" s="6" t="s">
        <v>13</v>
      </c>
      <c r="F88" s="173">
        <v>0.38845488907999998</v>
      </c>
      <c r="G88" s="173">
        <v>0.38866964900000001</v>
      </c>
      <c r="H88" s="174">
        <v>0.39161795510494318</v>
      </c>
      <c r="I88" s="175">
        <v>0.38774335999999998</v>
      </c>
    </row>
    <row r="89" spans="2:9" x14ac:dyDescent="0.2">
      <c r="B89" s="244"/>
      <c r="C89" s="9" t="s">
        <v>186</v>
      </c>
      <c r="D89" s="10" t="s">
        <v>187</v>
      </c>
      <c r="E89" s="6" t="s">
        <v>159</v>
      </c>
      <c r="F89" s="34">
        <v>540</v>
      </c>
      <c r="G89" s="34"/>
      <c r="H89" s="169"/>
      <c r="I89" s="140"/>
    </row>
    <row r="90" spans="2:9" x14ac:dyDescent="0.2">
      <c r="B90" s="244"/>
      <c r="C90" s="9" t="s">
        <v>188</v>
      </c>
      <c r="D90" s="10" t="s">
        <v>189</v>
      </c>
      <c r="E90" s="6" t="s">
        <v>159</v>
      </c>
      <c r="F90" s="34">
        <v>550</v>
      </c>
      <c r="G90" s="34">
        <v>550</v>
      </c>
      <c r="H90" s="169">
        <v>550</v>
      </c>
      <c r="I90" s="140">
        <v>550</v>
      </c>
    </row>
    <row r="91" spans="2:9" x14ac:dyDescent="0.2">
      <c r="B91" s="244"/>
      <c r="C91" s="9" t="s">
        <v>190</v>
      </c>
      <c r="D91" s="10" t="s">
        <v>191</v>
      </c>
      <c r="E91" s="6" t="s">
        <v>159</v>
      </c>
      <c r="F91" s="34">
        <v>290</v>
      </c>
      <c r="G91" s="34">
        <v>290.1764</v>
      </c>
      <c r="H91" s="169">
        <v>290</v>
      </c>
      <c r="I91" s="140">
        <v>290</v>
      </c>
    </row>
    <row r="92" spans="2:9" x14ac:dyDescent="0.2">
      <c r="B92" s="244"/>
      <c r="C92" s="9" t="s">
        <v>192</v>
      </c>
      <c r="D92" s="10" t="s">
        <v>193</v>
      </c>
      <c r="E92" s="6" t="s">
        <v>159</v>
      </c>
      <c r="F92" s="34">
        <v>30</v>
      </c>
      <c r="G92" s="34">
        <v>30</v>
      </c>
      <c r="H92" s="169">
        <v>30</v>
      </c>
      <c r="I92" s="140">
        <v>30</v>
      </c>
    </row>
    <row r="93" spans="2:9" x14ac:dyDescent="0.2">
      <c r="B93" s="244"/>
      <c r="C93" s="9" t="s">
        <v>194</v>
      </c>
      <c r="D93" s="10" t="s">
        <v>195</v>
      </c>
      <c r="E93" s="6" t="s">
        <v>126</v>
      </c>
      <c r="F93" s="35">
        <v>37.698651129349003</v>
      </c>
      <c r="G93" s="35">
        <v>37.710084029999997</v>
      </c>
      <c r="H93" s="161">
        <v>37.698651129349109</v>
      </c>
      <c r="I93" s="162">
        <v>37.698651099999999</v>
      </c>
    </row>
    <row r="94" spans="2:9" x14ac:dyDescent="0.2">
      <c r="B94" s="244"/>
      <c r="C94" s="9" t="s">
        <v>196</v>
      </c>
      <c r="D94" s="40" t="s">
        <v>197</v>
      </c>
      <c r="E94" s="6" t="s">
        <v>126</v>
      </c>
      <c r="F94" s="35">
        <v>35.889115875140298</v>
      </c>
      <c r="G94" s="35">
        <v>35.9</v>
      </c>
      <c r="H94" s="161">
        <v>35.889115875140298</v>
      </c>
      <c r="I94" s="162">
        <v>35.889115799999999</v>
      </c>
    </row>
    <row r="95" spans="2:9" x14ac:dyDescent="0.2">
      <c r="B95" s="244"/>
      <c r="C95" s="9" t="s">
        <v>198</v>
      </c>
      <c r="D95" s="40" t="s">
        <v>199</v>
      </c>
      <c r="E95" s="6" t="s">
        <v>126</v>
      </c>
      <c r="F95" s="35">
        <v>77.189135660588605</v>
      </c>
      <c r="G95" s="35">
        <v>76.599450000000004</v>
      </c>
      <c r="H95" s="161">
        <v>77.189135660588605</v>
      </c>
      <c r="I95" s="162">
        <v>77.189135399999998</v>
      </c>
    </row>
    <row r="96" spans="2:9" x14ac:dyDescent="0.2">
      <c r="B96" s="244"/>
      <c r="C96" s="9" t="s">
        <v>200</v>
      </c>
      <c r="D96" s="10" t="s">
        <v>201</v>
      </c>
      <c r="E96" s="6" t="s">
        <v>126</v>
      </c>
      <c r="F96" s="35">
        <v>100.3458763587651</v>
      </c>
      <c r="G96" s="35">
        <v>99.659915999999996</v>
      </c>
      <c r="H96" s="161">
        <v>100.3458763587651</v>
      </c>
      <c r="I96" s="162">
        <v>100.345876</v>
      </c>
    </row>
    <row r="97" spans="2:9" x14ac:dyDescent="0.2">
      <c r="B97" s="244"/>
      <c r="C97" s="9" t="s">
        <v>202</v>
      </c>
      <c r="D97" s="10" t="s">
        <v>203</v>
      </c>
      <c r="E97" s="6" t="s">
        <v>136</v>
      </c>
      <c r="F97" s="34">
        <v>1.3</v>
      </c>
      <c r="G97" s="35">
        <v>1.301052632</v>
      </c>
      <c r="H97" s="169">
        <v>1.3</v>
      </c>
      <c r="I97" s="140">
        <v>1.3</v>
      </c>
    </row>
    <row r="98" spans="2:9" x14ac:dyDescent="0.2">
      <c r="B98" s="244"/>
      <c r="C98" s="9" t="s">
        <v>204</v>
      </c>
      <c r="D98" s="10" t="s">
        <v>205</v>
      </c>
      <c r="E98" s="6" t="s">
        <v>129</v>
      </c>
      <c r="F98" s="53">
        <v>557477.09088202857</v>
      </c>
      <c r="G98" s="53">
        <v>553666.19999999995</v>
      </c>
      <c r="H98" s="167">
        <v>557477.09088202857</v>
      </c>
      <c r="I98" s="138">
        <v>557477.08900000004</v>
      </c>
    </row>
    <row r="99" spans="2:9" x14ac:dyDescent="0.2">
      <c r="B99" s="244"/>
      <c r="C99" s="9" t="s">
        <v>206</v>
      </c>
      <c r="D99" s="10" t="s">
        <v>207</v>
      </c>
      <c r="E99" s="6" t="s">
        <v>129</v>
      </c>
      <c r="F99" s="53">
        <v>2090539.0908076069</v>
      </c>
      <c r="G99" s="53">
        <v>2076248.25</v>
      </c>
      <c r="H99" s="167">
        <v>2090539.0908076069</v>
      </c>
      <c r="I99" s="138">
        <v>2090539.08</v>
      </c>
    </row>
    <row r="100" spans="2:9" x14ac:dyDescent="0.2">
      <c r="B100" s="244"/>
      <c r="C100" s="9" t="s">
        <v>208</v>
      </c>
      <c r="D100" s="10" t="s">
        <v>209</v>
      </c>
      <c r="E100" s="6" t="s">
        <v>136</v>
      </c>
      <c r="F100" s="34">
        <v>0.4</v>
      </c>
      <c r="G100" s="34">
        <v>0.4</v>
      </c>
      <c r="H100" s="169">
        <v>0.4</v>
      </c>
      <c r="I100" s="140">
        <v>0.4</v>
      </c>
    </row>
    <row r="101" spans="2:9" x14ac:dyDescent="0.2">
      <c r="B101" s="244"/>
      <c r="C101" s="9" t="s">
        <v>210</v>
      </c>
      <c r="D101" s="10" t="s">
        <v>211</v>
      </c>
      <c r="E101" s="6" t="s">
        <v>212</v>
      </c>
      <c r="F101" s="34">
        <v>37</v>
      </c>
      <c r="G101" s="34">
        <v>37</v>
      </c>
      <c r="H101" s="169">
        <v>37</v>
      </c>
      <c r="I101" s="140">
        <v>37</v>
      </c>
    </row>
    <row r="102" spans="2:9" x14ac:dyDescent="0.2">
      <c r="B102" s="244"/>
      <c r="C102" s="9" t="s">
        <v>213</v>
      </c>
      <c r="D102" s="10" t="s">
        <v>214</v>
      </c>
      <c r="E102" s="6" t="s">
        <v>212</v>
      </c>
      <c r="F102" s="34">
        <v>0</v>
      </c>
      <c r="G102" s="34">
        <v>0</v>
      </c>
      <c r="H102" s="169">
        <v>0</v>
      </c>
      <c r="I102" s="140">
        <v>0</v>
      </c>
    </row>
    <row r="103" spans="2:9" x14ac:dyDescent="0.2">
      <c r="B103" s="244"/>
      <c r="C103" s="9" t="s">
        <v>215</v>
      </c>
      <c r="D103" s="10" t="s">
        <v>216</v>
      </c>
      <c r="E103" s="6" t="s">
        <v>13</v>
      </c>
      <c r="F103" s="56">
        <v>0.95</v>
      </c>
      <c r="G103" s="56">
        <v>0.95</v>
      </c>
      <c r="H103" s="170">
        <v>0.95</v>
      </c>
      <c r="I103" s="171">
        <v>0.95</v>
      </c>
    </row>
    <row r="104" spans="2:9" x14ac:dyDescent="0.2">
      <c r="B104" s="244"/>
      <c r="C104" s="9" t="s">
        <v>217</v>
      </c>
      <c r="D104" s="10" t="s">
        <v>218</v>
      </c>
      <c r="E104" s="6" t="s">
        <v>126</v>
      </c>
      <c r="F104" s="34">
        <v>50</v>
      </c>
      <c r="G104" s="34">
        <v>50</v>
      </c>
      <c r="H104" s="169">
        <v>50</v>
      </c>
      <c r="I104" s="140">
        <v>50</v>
      </c>
    </row>
    <row r="105" spans="2:9" x14ac:dyDescent="0.2">
      <c r="B105" s="244"/>
      <c r="C105" s="9" t="s">
        <v>219</v>
      </c>
      <c r="D105" s="10" t="s">
        <v>220</v>
      </c>
      <c r="E105" s="6" t="s">
        <v>173</v>
      </c>
      <c r="F105" s="35">
        <v>3.2163499999999998</v>
      </c>
      <c r="G105" s="35"/>
      <c r="H105" s="161">
        <v>3.38835</v>
      </c>
      <c r="I105" s="162">
        <v>2.7106796800000001</v>
      </c>
    </row>
    <row r="106" spans="2:9" x14ac:dyDescent="0.2">
      <c r="B106" s="244"/>
      <c r="C106" s="9" t="s">
        <v>221</v>
      </c>
      <c r="D106" s="40" t="s">
        <v>222</v>
      </c>
      <c r="E106" s="6" t="s">
        <v>126</v>
      </c>
      <c r="F106" s="35">
        <v>7.8936666015489232</v>
      </c>
      <c r="G106" s="35">
        <v>7.9</v>
      </c>
      <c r="H106" s="161">
        <v>7.8936666015489232</v>
      </c>
      <c r="I106" s="162">
        <v>7.8936659999999996</v>
      </c>
    </row>
    <row r="107" spans="2:9" x14ac:dyDescent="0.2">
      <c r="B107" s="244"/>
      <c r="C107" s="9" t="s">
        <v>223</v>
      </c>
      <c r="D107" s="40" t="s">
        <v>224</v>
      </c>
      <c r="E107" s="6" t="s">
        <v>182</v>
      </c>
      <c r="F107" s="35">
        <v>26.746500000000001</v>
      </c>
      <c r="G107" s="35">
        <v>26.7</v>
      </c>
      <c r="H107" s="161">
        <v>26.746505229358299</v>
      </c>
      <c r="I107" s="162">
        <v>26.746500000000001</v>
      </c>
    </row>
    <row r="108" spans="2:9" x14ac:dyDescent="0.2">
      <c r="B108" s="244"/>
      <c r="C108" s="9"/>
      <c r="D108" s="10" t="s">
        <v>225</v>
      </c>
      <c r="E108" s="6"/>
      <c r="F108" s="35"/>
      <c r="G108" s="35">
        <v>272.18630139999999</v>
      </c>
      <c r="H108" s="161">
        <v>316.89436229687863</v>
      </c>
      <c r="I108" s="162"/>
    </row>
    <row r="109" spans="2:9" x14ac:dyDescent="0.2">
      <c r="B109" s="244"/>
      <c r="C109" s="9" t="s">
        <v>226</v>
      </c>
      <c r="D109" s="10" t="s">
        <v>227</v>
      </c>
      <c r="E109" s="6" t="s">
        <v>136</v>
      </c>
      <c r="F109" s="34"/>
      <c r="G109" s="34">
        <v>2000</v>
      </c>
      <c r="H109" s="169">
        <v>2000</v>
      </c>
      <c r="I109" s="140">
        <v>2000</v>
      </c>
    </row>
    <row r="110" spans="2:9" ht="16" thickBot="1" x14ac:dyDescent="0.25">
      <c r="B110" s="237"/>
      <c r="C110" s="24" t="s">
        <v>228</v>
      </c>
      <c r="D110" s="15" t="s">
        <v>229</v>
      </c>
      <c r="E110" s="25" t="s">
        <v>136</v>
      </c>
      <c r="F110" s="58">
        <v>0</v>
      </c>
      <c r="G110" s="58">
        <v>3</v>
      </c>
      <c r="H110" s="172">
        <v>2</v>
      </c>
      <c r="I110" s="36">
        <v>3</v>
      </c>
    </row>
    <row r="111" spans="2:9" ht="16" x14ac:dyDescent="0.2">
      <c r="G111" s="67"/>
      <c r="I111" s="41"/>
    </row>
    <row r="115" spans="2:14" s="1" customFormat="1" x14ac:dyDescent="0.2">
      <c r="B115"/>
      <c r="F115" s="37"/>
      <c r="G115" s="37"/>
      <c r="H115" s="37"/>
      <c r="I115" s="38"/>
      <c r="J115"/>
      <c r="K115"/>
      <c r="L115"/>
      <c r="M115"/>
      <c r="N115"/>
    </row>
    <row r="116" spans="2:14" s="1" customFormat="1" x14ac:dyDescent="0.2">
      <c r="B116"/>
      <c r="F116" s="37"/>
      <c r="G116" s="37"/>
      <c r="H116" s="37"/>
      <c r="I116" s="38"/>
      <c r="J116"/>
      <c r="K116"/>
      <c r="L116"/>
      <c r="M116"/>
      <c r="N116"/>
    </row>
    <row r="117" spans="2:14" s="1" customFormat="1" x14ac:dyDescent="0.2">
      <c r="B117"/>
      <c r="F117" s="37"/>
      <c r="G117" s="37"/>
      <c r="H117" s="37"/>
      <c r="I117" s="38"/>
      <c r="J117"/>
      <c r="K117"/>
      <c r="L117"/>
      <c r="M117"/>
      <c r="N117"/>
    </row>
    <row r="118" spans="2:14" s="1" customFormat="1" x14ac:dyDescent="0.2">
      <c r="B118"/>
      <c r="F118" s="37"/>
      <c r="G118" s="37"/>
      <c r="H118" s="37"/>
      <c r="I118" s="38"/>
      <c r="J118"/>
      <c r="K118"/>
      <c r="L118"/>
      <c r="M118"/>
      <c r="N118"/>
    </row>
    <row r="119" spans="2:14" s="1" customFormat="1" x14ac:dyDescent="0.2">
      <c r="B119"/>
      <c r="F119" s="37"/>
      <c r="G119" s="37"/>
      <c r="H119" s="37"/>
      <c r="I119" s="38"/>
      <c r="J119"/>
      <c r="K119"/>
      <c r="L119"/>
      <c r="M119"/>
      <c r="N119"/>
    </row>
    <row r="121" spans="2:14" s="1" customFormat="1" x14ac:dyDescent="0.2">
      <c r="B121"/>
      <c r="F121" s="37"/>
      <c r="G121" s="37"/>
      <c r="H121" s="37"/>
      <c r="I121" s="39"/>
      <c r="J121"/>
      <c r="K121"/>
      <c r="L121"/>
      <c r="M121"/>
      <c r="N121"/>
    </row>
    <row r="127" spans="2:14" s="1" customFormat="1" x14ac:dyDescent="0.2">
      <c r="B127"/>
      <c r="F127" s="37"/>
      <c r="G127" s="37"/>
      <c r="H127" s="37"/>
      <c r="I127" s="38"/>
      <c r="J127"/>
      <c r="K127"/>
      <c r="L127"/>
      <c r="M127"/>
      <c r="N127"/>
    </row>
    <row r="133" spans="2:14" s="1" customFormat="1" x14ac:dyDescent="0.2">
      <c r="B133"/>
      <c r="F133" s="37"/>
      <c r="G133" s="37"/>
      <c r="H133" s="37"/>
      <c r="I133" s="38"/>
      <c r="J133"/>
      <c r="K133"/>
      <c r="L133"/>
      <c r="M133"/>
      <c r="N133"/>
    </row>
    <row r="134" spans="2:14" s="1" customFormat="1" x14ac:dyDescent="0.2">
      <c r="B134"/>
      <c r="F134" s="37"/>
      <c r="G134" s="37"/>
      <c r="H134" s="37"/>
      <c r="I134" s="38"/>
      <c r="J134"/>
      <c r="K134"/>
      <c r="L134"/>
      <c r="M134"/>
      <c r="N134"/>
    </row>
    <row r="135" spans="2:14" s="1" customFormat="1" x14ac:dyDescent="0.2">
      <c r="B135"/>
      <c r="F135" s="37"/>
      <c r="G135" s="37"/>
      <c r="H135" s="37"/>
      <c r="I135" s="38"/>
      <c r="J135"/>
      <c r="K135"/>
      <c r="L135"/>
      <c r="M135"/>
      <c r="N135"/>
    </row>
    <row r="136" spans="2:14" s="1" customFormat="1" x14ac:dyDescent="0.2">
      <c r="B136"/>
      <c r="F136" s="37"/>
      <c r="G136" s="37"/>
      <c r="H136" s="37"/>
      <c r="I136" s="38"/>
      <c r="J136"/>
      <c r="K136"/>
      <c r="L136"/>
      <c r="M136"/>
      <c r="N136"/>
    </row>
    <row r="137" spans="2:14" s="1" customFormat="1" x14ac:dyDescent="0.2">
      <c r="B137"/>
      <c r="F137" s="37"/>
      <c r="G137" s="37"/>
      <c r="H137" s="37"/>
      <c r="I137" s="38"/>
      <c r="J137"/>
      <c r="K137"/>
      <c r="L137"/>
      <c r="M137"/>
      <c r="N137"/>
    </row>
    <row r="138" spans="2:14" s="1" customFormat="1" x14ac:dyDescent="0.2">
      <c r="B138"/>
      <c r="F138" s="37"/>
      <c r="G138" s="37"/>
      <c r="H138" s="37"/>
      <c r="I138" s="38"/>
      <c r="J138"/>
      <c r="K138"/>
      <c r="L138"/>
      <c r="M138"/>
      <c r="N138"/>
    </row>
  </sheetData>
  <mergeCells count="8">
    <mergeCell ref="E2:E3"/>
    <mergeCell ref="F2:I2"/>
    <mergeCell ref="B4:B30"/>
    <mergeCell ref="B31:B60"/>
    <mergeCell ref="B61:B110"/>
    <mergeCell ref="B2:B3"/>
    <mergeCell ref="C2:C3"/>
    <mergeCell ref="D2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B59FDD0EE95B4E819A07D1C002C56C" ma:contentTypeVersion="11" ma:contentTypeDescription="Create a new document." ma:contentTypeScope="" ma:versionID="e13d25931ec11c0cca35d077793a70f4">
  <xsd:schema xmlns:xsd="http://www.w3.org/2001/XMLSchema" xmlns:xs="http://www.w3.org/2001/XMLSchema" xmlns:p="http://schemas.microsoft.com/office/2006/metadata/properties" xmlns:ns2="f36db87d-28b1-437f-80db-dff7a914738a" xmlns:ns3="2dcfc564-0251-4056-8280-ebe0552f0e99" targetNamespace="http://schemas.microsoft.com/office/2006/metadata/properties" ma:root="true" ma:fieldsID="9085ce137a2e2b8c97b66e99f4ef2059" ns2:_="" ns3:_="">
    <xsd:import namespace="f36db87d-28b1-437f-80db-dff7a914738a"/>
    <xsd:import namespace="2dcfc564-0251-4056-8280-ebe0552f0e9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6db87d-28b1-437f-80db-dff7a91473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834da80-57da-4863-8816-2e6886d1e8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cfc564-0251-4056-8280-ebe0552f0e9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1db6f59-cebb-493a-9cf8-ea85b2945540}" ma:internalName="TaxCatchAll" ma:showField="CatchAllData" ma:web="2dcfc564-0251-4056-8280-ebe0552f0e9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dcfc564-0251-4056-8280-ebe0552f0e99" xsi:nil="true"/>
    <lcf76f155ced4ddcb4097134ff3c332f xmlns="f36db87d-28b1-437f-80db-dff7a914738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EE1C556-21D5-467E-BF63-1946FDF7A2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6db87d-28b1-437f-80db-dff7a914738a"/>
    <ds:schemaRef ds:uri="2dcfc564-0251-4056-8280-ebe0552f0e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6970BB9-516B-4737-80AC-8E3574DBEC4D}">
  <ds:schemaRefs>
    <ds:schemaRef ds:uri="2dcfc564-0251-4056-8280-ebe0552f0e99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f36db87d-28b1-437f-80db-dff7a914738a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58CFEFD-FEB8-4E98-9576-5FAD3BDEC9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0 - Overview</vt:lpstr>
      <vt:lpstr>1.1 - HOPP - 30%</vt:lpstr>
      <vt:lpstr>1.2 - HOPP - 50%</vt:lpstr>
      <vt:lpstr>1.3 - HOPP - 70%</vt:lpstr>
      <vt:lpstr>1.4 - HOPP - 90%</vt:lpstr>
      <vt:lpstr>2.1 - AESOPT - 30%</vt:lpstr>
      <vt:lpstr>2.2 - AESOPT - 50%</vt:lpstr>
      <vt:lpstr>2.3 - AESOPT - 70%</vt:lpstr>
      <vt:lpstr>2.4 - AESOPT - 90%</vt:lpstr>
      <vt:lpstr>3.1 - Paper Figures - HOPP</vt:lpstr>
      <vt:lpstr>3.2 - Paper Figures - AESOPT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Lorenzo Pilotti</dc:creator>
  <cp:keywords/>
  <dc:description/>
  <cp:lastModifiedBy>Kathleen Tomon</cp:lastModifiedBy>
  <cp:revision/>
  <dcterms:created xsi:type="dcterms:W3CDTF">2024-08-05T09:01:08Z</dcterms:created>
  <dcterms:modified xsi:type="dcterms:W3CDTF">2025-01-27T16:41:19Z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0x010100B0B59FDD0EE95B4E819A07D1C002C56C</vt:lpwstr>
  </property>
  <property fmtid="{D5CDD505-2E9C-101B-9397-08002B2CF9AE}" pid="3" name="MediaServiceImageTags">
    <vt:lpwstr/>
  </property>
</Properties>
</file>