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lierm\Documents\"/>
    </mc:Choice>
  </mc:AlternateContent>
  <bookViews>
    <workbookView xWindow="0" yWindow="0" windowWidth="16610" windowHeight="9440" activeTab="2"/>
  </bookViews>
  <sheets>
    <sheet name="SAPO-34" sheetId="10" r:id="rId1"/>
    <sheet name="figures" sheetId="15" r:id="rId2"/>
    <sheet name="NaY" sheetId="1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1" i="13" l="1"/>
  <c r="B130" i="13"/>
  <c r="C130" i="13" s="1"/>
  <c r="D130" i="13" s="1"/>
  <c r="E130" i="13" s="1"/>
  <c r="B129" i="13"/>
  <c r="C128" i="13" s="1"/>
  <c r="D128" i="13" s="1"/>
  <c r="E128" i="13" s="1"/>
  <c r="B128" i="13"/>
  <c r="B127" i="13"/>
  <c r="C126" i="13" s="1"/>
  <c r="D126" i="13" s="1"/>
  <c r="E126" i="13" s="1"/>
  <c r="B126" i="13"/>
  <c r="B125" i="13"/>
  <c r="C124" i="13"/>
  <c r="D124" i="13" s="1"/>
  <c r="E124" i="13" s="1"/>
  <c r="B124" i="13"/>
  <c r="B123" i="13"/>
  <c r="B122" i="13"/>
  <c r="C122" i="13" s="1"/>
  <c r="D122" i="13" s="1"/>
  <c r="E122" i="13" s="1"/>
  <c r="B121" i="13"/>
  <c r="C120" i="13" s="1"/>
  <c r="D120" i="13" s="1"/>
  <c r="E120" i="13" s="1"/>
  <c r="B120" i="13"/>
  <c r="B119" i="13"/>
  <c r="C118" i="13" s="1"/>
  <c r="D118" i="13" s="1"/>
  <c r="E118" i="13" s="1"/>
  <c r="B118" i="13"/>
  <c r="B117" i="13"/>
  <c r="C116" i="13"/>
  <c r="D116" i="13" s="1"/>
  <c r="E116" i="13" s="1"/>
  <c r="B116" i="13"/>
  <c r="B115" i="13"/>
  <c r="D114" i="13"/>
  <c r="E114" i="13" s="1"/>
  <c r="C114" i="13"/>
  <c r="B114" i="13"/>
  <c r="B113" i="13"/>
  <c r="C112" i="13" s="1"/>
  <c r="D112" i="13" s="1"/>
  <c r="E112" i="13" s="1"/>
  <c r="B112" i="13"/>
  <c r="B111" i="13"/>
  <c r="C110" i="13" s="1"/>
  <c r="D110" i="13" s="1"/>
  <c r="E110" i="13" s="1"/>
  <c r="B110" i="13"/>
  <c r="B127" i="10"/>
  <c r="C126" i="10"/>
  <c r="D126" i="10" s="1"/>
  <c r="E126" i="10" s="1"/>
  <c r="B125" i="10"/>
  <c r="C124" i="10"/>
  <c r="D124" i="10" s="1"/>
  <c r="E124" i="10" s="1"/>
  <c r="B123" i="10"/>
  <c r="C122" i="10"/>
  <c r="D122" i="10" s="1"/>
  <c r="E122" i="10" s="1"/>
  <c r="B121" i="10"/>
  <c r="C120" i="10"/>
  <c r="D120" i="10" s="1"/>
  <c r="E120" i="10" s="1"/>
  <c r="B119" i="10"/>
  <c r="C118" i="10"/>
  <c r="D118" i="10" s="1"/>
  <c r="E118" i="10" s="1"/>
  <c r="B117" i="10"/>
  <c r="C116" i="10"/>
  <c r="D116" i="10" s="1"/>
  <c r="E116" i="10" s="1"/>
  <c r="B115" i="10"/>
  <c r="D114" i="10"/>
  <c r="E114" i="10" s="1"/>
  <c r="C114" i="10"/>
  <c r="B113" i="10"/>
  <c r="D112" i="10"/>
  <c r="E112" i="10" s="1"/>
  <c r="C112" i="10"/>
  <c r="B111" i="10"/>
  <c r="D110" i="10"/>
  <c r="E110" i="10" s="1"/>
  <c r="C110" i="10"/>
  <c r="B109" i="10"/>
  <c r="C108" i="10" s="1"/>
  <c r="D108" i="10" s="1"/>
  <c r="E108" i="10" s="1"/>
  <c r="B107" i="10"/>
  <c r="C106" i="10" s="1"/>
  <c r="D106" i="10" s="1"/>
  <c r="E106" i="10" s="1"/>
  <c r="E2" i="13" l="1"/>
  <c r="D2" i="13"/>
  <c r="E1" i="10" l="1"/>
  <c r="D1" i="10"/>
  <c r="E81" i="10" l="1"/>
  <c r="E26" i="13" l="1"/>
  <c r="E24" i="13"/>
  <c r="D26" i="13"/>
  <c r="D24" i="13"/>
  <c r="E52" i="13"/>
  <c r="D52" i="13"/>
  <c r="E50" i="13"/>
  <c r="D50" i="13"/>
  <c r="E76" i="13"/>
  <c r="D76" i="13"/>
  <c r="C76" i="13"/>
  <c r="B76" i="13"/>
  <c r="B77" i="13"/>
  <c r="E104" i="13"/>
  <c r="D104" i="13"/>
  <c r="C104" i="13"/>
  <c r="B105" i="13"/>
  <c r="B104" i="13"/>
  <c r="D102" i="13"/>
  <c r="E102" i="13"/>
  <c r="E100" i="13"/>
  <c r="C102" i="13"/>
  <c r="B103" i="13"/>
  <c r="B102" i="13"/>
  <c r="E98" i="13"/>
  <c r="E96" i="13"/>
  <c r="E94" i="13"/>
  <c r="E92" i="13"/>
  <c r="E90" i="13"/>
  <c r="E88" i="13"/>
  <c r="E86" i="13"/>
  <c r="E84" i="13"/>
  <c r="E82" i="13"/>
  <c r="E80" i="13"/>
  <c r="E74" i="13"/>
  <c r="E72" i="13"/>
  <c r="E70" i="13"/>
  <c r="E68" i="13"/>
  <c r="E66" i="13"/>
  <c r="E64" i="13"/>
  <c r="E62" i="13"/>
  <c r="E60" i="13"/>
  <c r="E58" i="13"/>
  <c r="E56" i="13"/>
  <c r="E54" i="13"/>
  <c r="E48" i="13"/>
  <c r="E46" i="13"/>
  <c r="E44" i="13"/>
  <c r="E42" i="13"/>
  <c r="E40" i="13"/>
  <c r="E38" i="13"/>
  <c r="E36" i="13"/>
  <c r="E34" i="13"/>
  <c r="E32" i="13"/>
  <c r="E30" i="13"/>
  <c r="E28" i="13"/>
  <c r="E22" i="13"/>
  <c r="E20" i="13"/>
  <c r="E18" i="13"/>
  <c r="E16" i="13"/>
  <c r="E14" i="13"/>
  <c r="E12" i="13"/>
  <c r="E10" i="13"/>
  <c r="E8" i="13"/>
  <c r="E6" i="13"/>
  <c r="E4" i="13"/>
  <c r="D100" i="13" l="1"/>
  <c r="D98" i="13"/>
  <c r="D96" i="13"/>
  <c r="D94" i="13"/>
  <c r="D92" i="13"/>
  <c r="D90" i="13"/>
  <c r="D88" i="13"/>
  <c r="D86" i="13"/>
  <c r="D84" i="13"/>
  <c r="D82" i="13"/>
  <c r="D80" i="13"/>
  <c r="B80" i="10" l="1"/>
  <c r="B82" i="10"/>
  <c r="B84" i="10"/>
  <c r="B86" i="10"/>
  <c r="B88" i="10"/>
  <c r="B90" i="10"/>
  <c r="B92" i="10"/>
  <c r="B94" i="10"/>
  <c r="B96" i="10"/>
  <c r="B98" i="10"/>
  <c r="B100" i="10"/>
  <c r="B54" i="10"/>
  <c r="B56" i="10"/>
  <c r="B58" i="10"/>
  <c r="B60" i="10"/>
  <c r="B62" i="10"/>
  <c r="B64" i="10"/>
  <c r="B66" i="10"/>
  <c r="B68" i="10"/>
  <c r="B70" i="10"/>
  <c r="B72" i="10"/>
  <c r="B74" i="10"/>
  <c r="B28" i="10"/>
  <c r="B30" i="10"/>
  <c r="B32" i="10"/>
  <c r="B34" i="10"/>
  <c r="B36" i="10"/>
  <c r="B38" i="10"/>
  <c r="B40" i="10"/>
  <c r="B42" i="10"/>
  <c r="B44" i="10"/>
  <c r="B46" i="10"/>
  <c r="B48" i="10"/>
  <c r="B50" i="10"/>
  <c r="C49" i="10" s="1"/>
  <c r="D49" i="10" s="1"/>
  <c r="E49" i="10" s="1"/>
  <c r="C51" i="10"/>
  <c r="D51" i="10" s="1"/>
  <c r="E51" i="10" s="1"/>
  <c r="B52" i="10"/>
  <c r="B2" i="10"/>
  <c r="B4" i="10"/>
  <c r="B6" i="10"/>
  <c r="B8" i="10"/>
  <c r="B10" i="10"/>
  <c r="B12" i="10"/>
  <c r="B14" i="10"/>
  <c r="B16" i="10"/>
  <c r="B18" i="10"/>
  <c r="B20" i="10"/>
  <c r="B22" i="10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80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C50" i="13" s="1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C26" i="13" s="1"/>
  <c r="B27" i="13"/>
  <c r="B2" i="13"/>
  <c r="C52" i="13"/>
  <c r="C24" i="13"/>
  <c r="E93" i="10" l="1"/>
  <c r="E85" i="10"/>
  <c r="E9" i="10"/>
  <c r="C99" i="10"/>
  <c r="D99" i="10" s="1"/>
  <c r="E99" i="10" s="1"/>
  <c r="C97" i="10"/>
  <c r="D97" i="10" s="1"/>
  <c r="E97" i="10" s="1"/>
  <c r="C95" i="10"/>
  <c r="D95" i="10" s="1"/>
  <c r="E95" i="10" s="1"/>
  <c r="C93" i="10"/>
  <c r="D93" i="10" s="1"/>
  <c r="C91" i="10"/>
  <c r="D91" i="10" s="1"/>
  <c r="E91" i="10" s="1"/>
  <c r="C89" i="10"/>
  <c r="D89" i="10" s="1"/>
  <c r="E89" i="10" s="1"/>
  <c r="C87" i="10"/>
  <c r="D87" i="10" s="1"/>
  <c r="E87" i="10" s="1"/>
  <c r="C85" i="10"/>
  <c r="D85" i="10" s="1"/>
  <c r="C83" i="10"/>
  <c r="D83" i="10" s="1"/>
  <c r="E83" i="10" s="1"/>
  <c r="C81" i="10"/>
  <c r="D81" i="10" s="1"/>
  <c r="C79" i="10"/>
  <c r="C73" i="10"/>
  <c r="D73" i="10" s="1"/>
  <c r="E73" i="10" s="1"/>
  <c r="C71" i="10"/>
  <c r="D71" i="10" s="1"/>
  <c r="E71" i="10" s="1"/>
  <c r="C69" i="10"/>
  <c r="D69" i="10" s="1"/>
  <c r="E69" i="10" s="1"/>
  <c r="C67" i="10"/>
  <c r="D67" i="10" s="1"/>
  <c r="E67" i="10" s="1"/>
  <c r="C65" i="10"/>
  <c r="D65" i="10" s="1"/>
  <c r="E65" i="10" s="1"/>
  <c r="C63" i="10"/>
  <c r="D63" i="10" s="1"/>
  <c r="E63" i="10" s="1"/>
  <c r="C61" i="10"/>
  <c r="D61" i="10" s="1"/>
  <c r="E61" i="10" s="1"/>
  <c r="C59" i="10"/>
  <c r="D59" i="10" s="1"/>
  <c r="E59" i="10" s="1"/>
  <c r="C57" i="10"/>
  <c r="D57" i="10" s="1"/>
  <c r="E57" i="10" s="1"/>
  <c r="C55" i="10"/>
  <c r="D55" i="10" s="1"/>
  <c r="E55" i="10" s="1"/>
  <c r="C53" i="10"/>
  <c r="D53" i="10" s="1"/>
  <c r="E53" i="10" s="1"/>
  <c r="C47" i="10"/>
  <c r="D47" i="10" s="1"/>
  <c r="E47" i="10" s="1"/>
  <c r="C45" i="10"/>
  <c r="D45" i="10" s="1"/>
  <c r="E45" i="10" s="1"/>
  <c r="C43" i="10"/>
  <c r="D43" i="10" s="1"/>
  <c r="E43" i="10" s="1"/>
  <c r="C41" i="10"/>
  <c r="D41" i="10" s="1"/>
  <c r="E41" i="10" s="1"/>
  <c r="C39" i="10"/>
  <c r="D39" i="10" s="1"/>
  <c r="E39" i="10" s="1"/>
  <c r="C37" i="10"/>
  <c r="D37" i="10" s="1"/>
  <c r="E37" i="10" s="1"/>
  <c r="C35" i="10"/>
  <c r="D35" i="10" s="1"/>
  <c r="E35" i="10" s="1"/>
  <c r="C33" i="10"/>
  <c r="D33" i="10" s="1"/>
  <c r="E33" i="10" s="1"/>
  <c r="C31" i="10"/>
  <c r="D31" i="10" s="1"/>
  <c r="E31" i="10" s="1"/>
  <c r="C29" i="10"/>
  <c r="D29" i="10" s="1"/>
  <c r="E29" i="10" s="1"/>
  <c r="C27" i="10"/>
  <c r="D27" i="10" s="1"/>
  <c r="E27" i="10" s="1"/>
  <c r="C21" i="10"/>
  <c r="D21" i="10" s="1"/>
  <c r="E21" i="10" s="1"/>
  <c r="C19" i="10"/>
  <c r="D19" i="10" s="1"/>
  <c r="E19" i="10" s="1"/>
  <c r="C17" i="10"/>
  <c r="D17" i="10" s="1"/>
  <c r="E17" i="10" s="1"/>
  <c r="C15" i="10"/>
  <c r="D15" i="10" s="1"/>
  <c r="E15" i="10" s="1"/>
  <c r="C13" i="10"/>
  <c r="D13" i="10" s="1"/>
  <c r="E13" i="10" s="1"/>
  <c r="C11" i="10"/>
  <c r="D11" i="10" s="1"/>
  <c r="E11" i="10" s="1"/>
  <c r="C9" i="10"/>
  <c r="D9" i="10" s="1"/>
  <c r="C7" i="10"/>
  <c r="D7" i="10" s="1"/>
  <c r="E7" i="10" s="1"/>
  <c r="C5" i="10"/>
  <c r="D5" i="10" s="1"/>
  <c r="E5" i="10" s="1"/>
  <c r="C3" i="10"/>
  <c r="D3" i="10" s="1"/>
  <c r="E3" i="10" s="1"/>
  <c r="C1" i="10"/>
  <c r="C100" i="13"/>
  <c r="C98" i="13"/>
  <c r="C96" i="13"/>
  <c r="C94" i="13"/>
  <c r="C92" i="13"/>
  <c r="C90" i="13"/>
  <c r="C88" i="13"/>
  <c r="C86" i="13"/>
  <c r="C84" i="13"/>
  <c r="C82" i="13"/>
  <c r="C80" i="13"/>
  <c r="C74" i="13"/>
  <c r="D74" i="13" s="1"/>
  <c r="C72" i="13"/>
  <c r="D72" i="13" s="1"/>
  <c r="C70" i="13"/>
  <c r="D70" i="13" s="1"/>
  <c r="C68" i="13"/>
  <c r="D68" i="13" s="1"/>
  <c r="C66" i="13"/>
  <c r="D66" i="13" s="1"/>
  <c r="C64" i="13"/>
  <c r="D64" i="13" s="1"/>
  <c r="C62" i="13"/>
  <c r="D62" i="13" s="1"/>
  <c r="C60" i="13"/>
  <c r="D60" i="13" s="1"/>
  <c r="C58" i="13"/>
  <c r="D58" i="13" s="1"/>
  <c r="C56" i="13"/>
  <c r="D56" i="13" s="1"/>
  <c r="C54" i="13"/>
  <c r="D54" i="13" s="1"/>
  <c r="C48" i="13"/>
  <c r="D48" i="13" s="1"/>
  <c r="C46" i="13"/>
  <c r="D46" i="13" s="1"/>
  <c r="C44" i="13"/>
  <c r="D44" i="13" s="1"/>
  <c r="C42" i="13"/>
  <c r="D42" i="13" s="1"/>
  <c r="C40" i="13"/>
  <c r="D40" i="13" s="1"/>
  <c r="C38" i="13"/>
  <c r="D38" i="13" s="1"/>
  <c r="C36" i="13"/>
  <c r="D36" i="13" s="1"/>
  <c r="C34" i="13"/>
  <c r="D34" i="13" s="1"/>
  <c r="C32" i="13"/>
  <c r="D32" i="13" s="1"/>
  <c r="C30" i="13"/>
  <c r="D30" i="13" s="1"/>
  <c r="C28" i="13"/>
  <c r="D28" i="13" s="1"/>
  <c r="C22" i="13"/>
  <c r="D22" i="13" s="1"/>
  <c r="C20" i="13"/>
  <c r="D20" i="13" s="1"/>
  <c r="C18" i="13"/>
  <c r="D18" i="13" s="1"/>
  <c r="C16" i="13"/>
  <c r="D16" i="13" s="1"/>
  <c r="C14" i="13"/>
  <c r="D14" i="13" s="1"/>
  <c r="C12" i="13"/>
  <c r="D12" i="13" s="1"/>
  <c r="C10" i="13"/>
  <c r="D10" i="13" s="1"/>
  <c r="C8" i="13"/>
  <c r="D8" i="13" s="1"/>
  <c r="C6" i="13"/>
  <c r="D6" i="13" s="1"/>
  <c r="C4" i="13"/>
  <c r="D4" i="13" s="1"/>
  <c r="C2" i="13"/>
  <c r="E79" i="10" l="1"/>
  <c r="D79" i="10"/>
</calcChain>
</file>

<file path=xl/sharedStrings.xml><?xml version="1.0" encoding="utf-8"?>
<sst xmlns="http://schemas.openxmlformats.org/spreadsheetml/2006/main" count="372" uniqueCount="27">
  <si>
    <t xml:space="preserve"> </t>
  </si>
  <si>
    <t>LiX</t>
  </si>
  <si>
    <t>NaA</t>
  </si>
  <si>
    <t>SAPO-34</t>
  </si>
  <si>
    <t>150C</t>
  </si>
  <si>
    <t>NaX</t>
  </si>
  <si>
    <t>NaY</t>
  </si>
  <si>
    <t>100C</t>
  </si>
  <si>
    <t>400 mic</t>
  </si>
  <si>
    <t>150C X4</t>
  </si>
  <si>
    <t>50(55)</t>
  </si>
  <si>
    <t>100 C x4</t>
  </si>
  <si>
    <t>Temp</t>
  </si>
  <si>
    <r>
      <t>C</t>
    </r>
    <r>
      <rPr>
        <vertAlign val="subscript"/>
        <sz val="11"/>
        <color theme="1"/>
        <rFont val="Calibri"/>
        <family val="2"/>
        <charset val="162"/>
        <scheme val="minor"/>
      </rPr>
      <t>AS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</si>
  <si>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W</t>
    </r>
  </si>
  <si>
    <r>
      <t>Q</t>
    </r>
    <r>
      <rPr>
        <vertAlign val="subscript"/>
        <sz val="11"/>
        <color theme="1"/>
        <rFont val="Calibri"/>
        <family val="2"/>
        <charset val="162"/>
        <scheme val="minor"/>
      </rPr>
      <t>u</t>
    </r>
  </si>
  <si>
    <t>P</t>
  </si>
  <si>
    <r>
      <t>Coating thickness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m)</t>
    </r>
  </si>
  <si>
    <t>Y</t>
  </si>
  <si>
    <t>X4</t>
  </si>
  <si>
    <t>60-150C</t>
  </si>
  <si>
    <t>x4</t>
  </si>
  <si>
    <t>25-150C</t>
  </si>
  <si>
    <t>25-100C</t>
  </si>
  <si>
    <t>25-100C X4</t>
  </si>
  <si>
    <t>25-150C X4</t>
  </si>
  <si>
    <t>25-NaY 150C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</si>
</sst>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vertAlign val="subscript"/>
      <sz val="11"/>
      <color theme="1"/>
      <name val="Calibri"/>
      <family val="2"/>
      <charset val="162"/>
      <scheme val="minor"/>
    </font>
    <font>
      <sz val="11"/>
      <color theme="1"/>
      <name val="Symbol"/>
      <family val="1"/>
      <charset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0" xfId="0" applyFon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29505257879385"/>
          <c:y val="4.5489620604332121E-2"/>
          <c:w val="0.81264266164602328"/>
          <c:h val="0.80704103903550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[1]Sheet4!$A$2:$A$12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[1]Sheet4!$E$2:$E$12</c:f>
              <c:numCache>
                <c:formatCode>General</c:formatCode>
                <c:ptCount val="11"/>
                <c:pt idx="0">
                  <c:v>182.6</c:v>
                </c:pt>
                <c:pt idx="1">
                  <c:v>238.91</c:v>
                </c:pt>
                <c:pt idx="2">
                  <c:v>346.49</c:v>
                </c:pt>
                <c:pt idx="3">
                  <c:v>457.81</c:v>
                </c:pt>
                <c:pt idx="4">
                  <c:v>655.37</c:v>
                </c:pt>
                <c:pt idx="5">
                  <c:v>837.62</c:v>
                </c:pt>
                <c:pt idx="6">
                  <c:v>988.22</c:v>
                </c:pt>
                <c:pt idx="7">
                  <c:v>1082.71</c:v>
                </c:pt>
                <c:pt idx="8">
                  <c:v>1047.92</c:v>
                </c:pt>
                <c:pt idx="9">
                  <c:v>912.2</c:v>
                </c:pt>
                <c:pt idx="10">
                  <c:v>1128.42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[1]Sheet4!$A$2:$A$12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[1]Sheet4!$F$2:$F$12</c:f>
              <c:numCache>
                <c:formatCode>General</c:formatCode>
                <c:ptCount val="11"/>
                <c:pt idx="0">
                  <c:v>549.48</c:v>
                </c:pt>
                <c:pt idx="1">
                  <c:v>705.99</c:v>
                </c:pt>
                <c:pt idx="2">
                  <c:v>982.39</c:v>
                </c:pt>
                <c:pt idx="3">
                  <c:v>1263.6600000000001</c:v>
                </c:pt>
                <c:pt idx="4">
                  <c:v>1734.76</c:v>
                </c:pt>
                <c:pt idx="5">
                  <c:v>2103.83</c:v>
                </c:pt>
                <c:pt idx="6">
                  <c:v>2353.3000000000002</c:v>
                </c:pt>
                <c:pt idx="7">
                  <c:v>2581.86</c:v>
                </c:pt>
                <c:pt idx="8">
                  <c:v>2739.53</c:v>
                </c:pt>
                <c:pt idx="9">
                  <c:v>2552.0300000000002</c:v>
                </c:pt>
                <c:pt idx="10">
                  <c:v>2738.66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143536"/>
        <c:axId val="254594384"/>
      </c:scatterChart>
      <c:valAx>
        <c:axId val="254143536"/>
        <c:scaling>
          <c:orientation val="minMax"/>
          <c:max val="4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Coating thickness</a:t>
                </a:r>
                <a:r>
                  <a:rPr lang="tr-TR" sz="120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(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4384"/>
        <c:crosses val="autoZero"/>
        <c:crossBetween val="midCat"/>
        <c:majorUnit val="50"/>
      </c:valAx>
      <c:valAx>
        <c:axId val="254594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Power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143536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15497295747351"/>
          <c:y val="4.5582661063072634E-2"/>
          <c:w val="0.80005236296640525"/>
          <c:h val="0.810736357341835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[1]Sheet4!$A$55:$A$65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[1]Sheet4!$E$55:$E$65</c:f>
              <c:numCache>
                <c:formatCode>General</c:formatCode>
                <c:ptCount val="11"/>
                <c:pt idx="0">
                  <c:v>431.58</c:v>
                </c:pt>
                <c:pt idx="1">
                  <c:v>531.38</c:v>
                </c:pt>
                <c:pt idx="2">
                  <c:v>776.74</c:v>
                </c:pt>
                <c:pt idx="3">
                  <c:v>965.85</c:v>
                </c:pt>
                <c:pt idx="4">
                  <c:v>1209.47</c:v>
                </c:pt>
                <c:pt idx="5">
                  <c:v>1304.1300000000001</c:v>
                </c:pt>
                <c:pt idx="6">
                  <c:v>1287.03</c:v>
                </c:pt>
                <c:pt idx="7">
                  <c:v>1219.31</c:v>
                </c:pt>
                <c:pt idx="8">
                  <c:v>775.73</c:v>
                </c:pt>
                <c:pt idx="9">
                  <c:v>642.75</c:v>
                </c:pt>
                <c:pt idx="10">
                  <c:v>896.86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[1]Sheet4!$A$55:$A$65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[1]Sheet4!$F$55:$F$65</c:f>
              <c:numCache>
                <c:formatCode>General</c:formatCode>
                <c:ptCount val="11"/>
                <c:pt idx="0">
                  <c:v>1616.34</c:v>
                </c:pt>
                <c:pt idx="1">
                  <c:v>1996.08</c:v>
                </c:pt>
                <c:pt idx="2">
                  <c:v>2633.97</c:v>
                </c:pt>
                <c:pt idx="3">
                  <c:v>3067.34</c:v>
                </c:pt>
                <c:pt idx="4">
                  <c:v>3625.04</c:v>
                </c:pt>
                <c:pt idx="5">
                  <c:v>3771.06</c:v>
                </c:pt>
                <c:pt idx="6">
                  <c:v>3785.97</c:v>
                </c:pt>
                <c:pt idx="7">
                  <c:v>3709.34</c:v>
                </c:pt>
                <c:pt idx="8">
                  <c:v>2760.6</c:v>
                </c:pt>
                <c:pt idx="9">
                  <c:v>2402.5300000000002</c:v>
                </c:pt>
                <c:pt idx="10">
                  <c:v>3059.71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95168"/>
        <c:axId val="254593208"/>
      </c:scatterChart>
      <c:valAx>
        <c:axId val="254595168"/>
        <c:scaling>
          <c:orientation val="minMax"/>
          <c:max val="4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Coating thicknes (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3208"/>
        <c:crosses val="autoZero"/>
        <c:crossBetween val="midCat"/>
        <c:majorUnit val="50"/>
      </c:valAx>
      <c:valAx>
        <c:axId val="254593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Power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516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16174468018661"/>
          <c:y val="3.7174636706996993E-2"/>
          <c:w val="0.80057407880711917"/>
          <c:h val="0.811890403943409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[1]Sheet4!$A$21:$A$31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[1]Sheet4!$E$21:$E$31</c:f>
              <c:numCache>
                <c:formatCode>General</c:formatCode>
                <c:ptCount val="11"/>
                <c:pt idx="0">
                  <c:v>114.3</c:v>
                </c:pt>
                <c:pt idx="1">
                  <c:v>149.88999999999999</c:v>
                </c:pt>
                <c:pt idx="2">
                  <c:v>216.18</c:v>
                </c:pt>
                <c:pt idx="3">
                  <c:v>281.5</c:v>
                </c:pt>
                <c:pt idx="4">
                  <c:v>401.72</c:v>
                </c:pt>
                <c:pt idx="5">
                  <c:v>512.04999999999995</c:v>
                </c:pt>
                <c:pt idx="6">
                  <c:v>598.24</c:v>
                </c:pt>
                <c:pt idx="7">
                  <c:v>655.39</c:v>
                </c:pt>
                <c:pt idx="8">
                  <c:v>657.78</c:v>
                </c:pt>
                <c:pt idx="9">
                  <c:v>582.42999999999995</c:v>
                </c:pt>
                <c:pt idx="10">
                  <c:v>705.76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[1]Sheet4!$A$21:$A$31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[1]Sheet4!$F$21:$F$31</c:f>
              <c:numCache>
                <c:formatCode>General</c:formatCode>
                <c:ptCount val="11"/>
                <c:pt idx="0">
                  <c:v>470.66</c:v>
                </c:pt>
                <c:pt idx="1">
                  <c:v>611.94000000000005</c:v>
                </c:pt>
                <c:pt idx="2">
                  <c:v>862.17</c:v>
                </c:pt>
                <c:pt idx="3">
                  <c:v>1109.93</c:v>
                </c:pt>
                <c:pt idx="4">
                  <c:v>1527.14</c:v>
                </c:pt>
                <c:pt idx="5">
                  <c:v>1852.28</c:v>
                </c:pt>
                <c:pt idx="6">
                  <c:v>2085.4899999999998</c:v>
                </c:pt>
                <c:pt idx="7">
                  <c:v>2278.6</c:v>
                </c:pt>
                <c:pt idx="8">
                  <c:v>2353.3000000000002</c:v>
                </c:pt>
                <c:pt idx="9">
                  <c:v>2175.02</c:v>
                </c:pt>
                <c:pt idx="10">
                  <c:v>2366.23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94776"/>
        <c:axId val="254593992"/>
      </c:scatterChart>
      <c:valAx>
        <c:axId val="254594776"/>
        <c:scaling>
          <c:orientation val="minMax"/>
          <c:max val="4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Coating thickness (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3992"/>
        <c:crosses val="autoZero"/>
        <c:crossBetween val="midCat"/>
        <c:majorUnit val="50"/>
      </c:valAx>
      <c:valAx>
        <c:axId val="254593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Power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4776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35006827917149"/>
          <c:y val="4.5864035514079256E-2"/>
          <c:w val="0.80815157441195373"/>
          <c:h val="0.7885596707818930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[1]Sheet4!$A$38:$A$49</c:f>
              <c:numCache>
                <c:formatCode>General</c:formatCode>
                <c:ptCount val="12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[1]Sheet4!$E$38:$E$49</c:f>
              <c:numCache>
                <c:formatCode>General</c:formatCode>
                <c:ptCount val="12"/>
                <c:pt idx="0">
                  <c:v>705.87</c:v>
                </c:pt>
                <c:pt idx="1">
                  <c:v>901.69</c:v>
                </c:pt>
                <c:pt idx="2">
                  <c:v>1273.3800000000001</c:v>
                </c:pt>
                <c:pt idx="3">
                  <c:v>1598.59</c:v>
                </c:pt>
                <c:pt idx="4">
                  <c:v>1994.57</c:v>
                </c:pt>
                <c:pt idx="5">
                  <c:v>2101.2399999999998</c:v>
                </c:pt>
                <c:pt idx="6">
                  <c:v>2051.02</c:v>
                </c:pt>
                <c:pt idx="7">
                  <c:v>1922.83</c:v>
                </c:pt>
                <c:pt idx="8">
                  <c:v>1190.19</c:v>
                </c:pt>
                <c:pt idx="9">
                  <c:v>988.22</c:v>
                </c:pt>
                <c:pt idx="10">
                  <c:v>1376</c:v>
                </c:pt>
                <c:pt idx="11">
                  <c:v>70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[1]Sheet4!$A$38:$A$49</c:f>
              <c:numCache>
                <c:formatCode>General</c:formatCode>
                <c:ptCount val="12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[1]Sheet4!$F$38:$F$49</c:f>
              <c:numCache>
                <c:formatCode>General</c:formatCode>
                <c:ptCount val="12"/>
                <c:pt idx="0">
                  <c:v>1907.6</c:v>
                </c:pt>
                <c:pt idx="1">
                  <c:v>2366.1999999999998</c:v>
                </c:pt>
                <c:pt idx="2">
                  <c:v>3139.45</c:v>
                </c:pt>
                <c:pt idx="3">
                  <c:v>3687.11</c:v>
                </c:pt>
                <c:pt idx="4">
                  <c:v>4430.6000000000004</c:v>
                </c:pt>
                <c:pt idx="5">
                  <c:v>4691.2299999999996</c:v>
                </c:pt>
                <c:pt idx="6">
                  <c:v>4738.97</c:v>
                </c:pt>
                <c:pt idx="7">
                  <c:v>4638.17</c:v>
                </c:pt>
                <c:pt idx="8">
                  <c:v>3579.83</c:v>
                </c:pt>
                <c:pt idx="9">
                  <c:v>3103.8</c:v>
                </c:pt>
                <c:pt idx="10">
                  <c:v>3941.9</c:v>
                </c:pt>
                <c:pt idx="11">
                  <c:v>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95952"/>
        <c:axId val="254596736"/>
      </c:scatterChart>
      <c:valAx>
        <c:axId val="254595952"/>
        <c:scaling>
          <c:orientation val="minMax"/>
          <c:max val="4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Coating thickness (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6736"/>
        <c:crosses val="autoZero"/>
        <c:crossBetween val="midCat"/>
        <c:majorUnit val="50"/>
      </c:valAx>
      <c:valAx>
        <c:axId val="254596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Power (</a:t>
                </a:r>
                <a:r>
                  <a:rPr lang="tr-TR" sz="1200">
                    <a:latin typeface="Arial" panose="020B0604020202020204" pitchFamily="34" charset="0"/>
                    <a:cs typeface="Arial" panose="020B0604020202020204" pitchFamily="34" charset="0"/>
                  </a:rPr>
                  <a:t>W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595952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1765087605452"/>
          <c:y val="4.5030143959277819E-2"/>
          <c:w val="0.80680077871512001"/>
          <c:h val="0.7766668257376918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[1]Sheet4!$A$76:$A$86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[1]Sheet4!$B$76:$B$85</c:f>
              <c:numCache>
                <c:formatCode>General</c:formatCode>
                <c:ptCount val="10"/>
                <c:pt idx="0">
                  <c:v>35.359422382671511</c:v>
                </c:pt>
                <c:pt idx="1">
                  <c:v>43.030493723849411</c:v>
                </c:pt>
                <c:pt idx="2">
                  <c:v>56.756556291390773</c:v>
                </c:pt>
                <c:pt idx="3">
                  <c:v>66.946283036063065</c:v>
                </c:pt>
                <c:pt idx="4">
                  <c:v>85.488678304239471</c:v>
                </c:pt>
                <c:pt idx="5">
                  <c:v>100.2758190327614</c:v>
                </c:pt>
                <c:pt idx="6">
                  <c:v>107.57623430962354</c:v>
                </c:pt>
                <c:pt idx="7">
                  <c:v>115.89235970250178</c:v>
                </c:pt>
                <c:pt idx="8">
                  <c:v>107.53124215809294</c:v>
                </c:pt>
                <c:pt idx="9">
                  <c:v>96.025098039215749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[1]Sheet4!$A$76:$A$86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[1]Sheet4!$D$76:$D$86</c:f>
              <c:numCache>
                <c:formatCode>General</c:formatCode>
                <c:ptCount val="11"/>
                <c:pt idx="0">
                  <c:v>182.6</c:v>
                </c:pt>
                <c:pt idx="1">
                  <c:v>238.91</c:v>
                </c:pt>
                <c:pt idx="2">
                  <c:v>346.49</c:v>
                </c:pt>
                <c:pt idx="3">
                  <c:v>457.81</c:v>
                </c:pt>
                <c:pt idx="4">
                  <c:v>655.37</c:v>
                </c:pt>
                <c:pt idx="5">
                  <c:v>837.62</c:v>
                </c:pt>
                <c:pt idx="6">
                  <c:v>988.22</c:v>
                </c:pt>
                <c:pt idx="7">
                  <c:v>1082.71</c:v>
                </c:pt>
                <c:pt idx="8">
                  <c:v>1047.92</c:v>
                </c:pt>
                <c:pt idx="9">
                  <c:v>912.2</c:v>
                </c:pt>
                <c:pt idx="10">
                  <c:v>1128.42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[1]Sheet4!$A$76:$A$86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[1]Sheet4!$C$76:$C$86</c:f>
              <c:numCache>
                <c:formatCode>General</c:formatCode>
                <c:ptCount val="11"/>
                <c:pt idx="0">
                  <c:v>448.10325038175063</c:v>
                </c:pt>
                <c:pt idx="1">
                  <c:v>569.95588864345473</c:v>
                </c:pt>
                <c:pt idx="2">
                  <c:v>785.01359383791817</c:v>
                </c:pt>
                <c:pt idx="3">
                  <c:v>968.66356303853206</c:v>
                </c:pt>
                <c:pt idx="4">
                  <c:v>1217.1099999999999</c:v>
                </c:pt>
                <c:pt idx="5">
                  <c:v>1305.6500000000001</c:v>
                </c:pt>
                <c:pt idx="6">
                  <c:v>1291.55</c:v>
                </c:pt>
                <c:pt idx="7">
                  <c:v>1213.6099999999999</c:v>
                </c:pt>
                <c:pt idx="8">
                  <c:v>771.81</c:v>
                </c:pt>
                <c:pt idx="9">
                  <c:v>639.9</c:v>
                </c:pt>
                <c:pt idx="10">
                  <c:v>888.5</c:v>
                </c:pt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[1]Sheet4!$A$76:$A$86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[1]Sheet4!$E$76:$E$86</c:f>
              <c:numCache>
                <c:formatCode>General</c:formatCode>
                <c:ptCount val="11"/>
                <c:pt idx="0">
                  <c:v>549.48</c:v>
                </c:pt>
                <c:pt idx="1">
                  <c:v>705.99</c:v>
                </c:pt>
                <c:pt idx="2">
                  <c:v>982.39</c:v>
                </c:pt>
                <c:pt idx="3">
                  <c:v>1263.6600000000001</c:v>
                </c:pt>
                <c:pt idx="4">
                  <c:v>1734.76</c:v>
                </c:pt>
                <c:pt idx="5">
                  <c:v>2103.83</c:v>
                </c:pt>
                <c:pt idx="6">
                  <c:v>2353.3000000000002</c:v>
                </c:pt>
                <c:pt idx="7">
                  <c:v>2581.86</c:v>
                </c:pt>
                <c:pt idx="8">
                  <c:v>2739.53</c:v>
                </c:pt>
                <c:pt idx="9">
                  <c:v>2552.0300000000002</c:v>
                </c:pt>
                <c:pt idx="10">
                  <c:v>2738.66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73336"/>
        <c:axId val="254768240"/>
      </c:scatterChart>
      <c:valAx>
        <c:axId val="254773336"/>
        <c:scaling>
          <c:orientation val="minMax"/>
          <c:max val="4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Coating thickness (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768240"/>
        <c:crosses val="autoZero"/>
        <c:crossBetween val="midCat"/>
        <c:majorUnit val="50"/>
      </c:valAx>
      <c:valAx>
        <c:axId val="254768240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Power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773336"/>
        <c:crosses val="autoZero"/>
        <c:crossBetween val="midCat"/>
        <c:majorUnit val="500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7588431080737"/>
          <c:y val="4.5304718007809996E-2"/>
          <c:w val="0.80671368409838551"/>
          <c:h val="0.7834351193905639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[1]Sheet4!$A$91:$A$101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[1]Sheet4!$B$91:$B$101</c:f>
              <c:numCache>
                <c:formatCode>General</c:formatCode>
                <c:ptCount val="11"/>
                <c:pt idx="0">
                  <c:v>105.93621755253407</c:v>
                </c:pt>
                <c:pt idx="1">
                  <c:v>124.05655006031374</c:v>
                </c:pt>
                <c:pt idx="2">
                  <c:v>150.35508771929838</c:v>
                </c:pt>
                <c:pt idx="3">
                  <c:v>167.87933398628809</c:v>
                </c:pt>
                <c:pt idx="4">
                  <c:v>184.00944712828786</c:v>
                </c:pt>
                <c:pt idx="5">
                  <c:v>186.71546840958624</c:v>
                </c:pt>
                <c:pt idx="6">
                  <c:v>179.63821834061153</c:v>
                </c:pt>
                <c:pt idx="7">
                  <c:v>171.23356643356658</c:v>
                </c:pt>
                <c:pt idx="8">
                  <c:v>120.36853932584279</c:v>
                </c:pt>
                <c:pt idx="9">
                  <c:v>107.12800000000009</c:v>
                </c:pt>
                <c:pt idx="10">
                  <c:v>134.43513725490209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[1]Sheet4!$A$91:$A$101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[1]Sheet4!$C$91:$C$101</c:f>
              <c:numCache>
                <c:formatCode>General</c:formatCode>
                <c:ptCount val="11"/>
                <c:pt idx="0">
                  <c:v>1404.2803440891105</c:v>
                </c:pt>
                <c:pt idx="1">
                  <c:v>1693.8662305540106</c:v>
                </c:pt>
                <c:pt idx="2">
                  <c:v>2040.2768767381642</c:v>
                </c:pt>
                <c:pt idx="3">
                  <c:v>2154.7822116571429</c:v>
                </c:pt>
                <c:pt idx="4">
                  <c:v>2032.4221053166505</c:v>
                </c:pt>
                <c:pt idx="5">
                  <c:v>1799.7328699636362</c:v>
                </c:pt>
                <c:pt idx="6">
                  <c:v>1568.0840847207919</c:v>
                </c:pt>
                <c:pt idx="7">
                  <c:v>1389.267478568421</c:v>
                </c:pt>
                <c:pt idx="8">
                  <c:v>792.67513792192199</c:v>
                </c:pt>
                <c:pt idx="9">
                  <c:v>651.75511340246908</c:v>
                </c:pt>
                <c:pt idx="10">
                  <c:v>930.25839974625535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[1]Sheet4!$A$91:$A$101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[1]Sheet4!$D$91:$D$101</c:f>
              <c:numCache>
                <c:formatCode>General</c:formatCode>
                <c:ptCount val="11"/>
                <c:pt idx="0">
                  <c:v>705.87</c:v>
                </c:pt>
                <c:pt idx="1">
                  <c:v>901.69</c:v>
                </c:pt>
                <c:pt idx="2">
                  <c:v>1273.3800000000001</c:v>
                </c:pt>
                <c:pt idx="3">
                  <c:v>1598.59</c:v>
                </c:pt>
                <c:pt idx="4">
                  <c:v>1994.57</c:v>
                </c:pt>
                <c:pt idx="5">
                  <c:v>2101.2399999999998</c:v>
                </c:pt>
                <c:pt idx="6">
                  <c:v>2051.02</c:v>
                </c:pt>
                <c:pt idx="7">
                  <c:v>1922.83</c:v>
                </c:pt>
                <c:pt idx="8">
                  <c:v>1190.19</c:v>
                </c:pt>
                <c:pt idx="9">
                  <c:v>988.22</c:v>
                </c:pt>
                <c:pt idx="10">
                  <c:v>1376</c:v>
                </c:pt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[1]Sheet4!$A$91:$A$101</c:f>
              <c:numCache>
                <c:formatCode>General</c:formatCode>
                <c:ptCount val="11"/>
                <c:pt idx="0">
                  <c:v>400</c:v>
                </c:pt>
                <c:pt idx="1">
                  <c:v>300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75</c:v>
                </c:pt>
                <c:pt idx="6">
                  <c:v>60</c:v>
                </c:pt>
                <c:pt idx="7">
                  <c:v>50</c:v>
                </c:pt>
                <c:pt idx="8">
                  <c:v>25</c:v>
                </c:pt>
                <c:pt idx="9">
                  <c:v>20</c:v>
                </c:pt>
                <c:pt idx="10">
                  <c:v>30</c:v>
                </c:pt>
              </c:numCache>
            </c:numRef>
          </c:xVal>
          <c:yVal>
            <c:numRef>
              <c:f>[1]Sheet4!$E$91:$E$101</c:f>
              <c:numCache>
                <c:formatCode>General</c:formatCode>
                <c:ptCount val="11"/>
                <c:pt idx="0">
                  <c:v>1907.6</c:v>
                </c:pt>
                <c:pt idx="1">
                  <c:v>2366.1999999999998</c:v>
                </c:pt>
                <c:pt idx="2">
                  <c:v>3139.45</c:v>
                </c:pt>
                <c:pt idx="3">
                  <c:v>3687.11</c:v>
                </c:pt>
                <c:pt idx="4">
                  <c:v>4430.6000000000004</c:v>
                </c:pt>
                <c:pt idx="5">
                  <c:v>4691.2299999999996</c:v>
                </c:pt>
                <c:pt idx="6">
                  <c:v>4738.97</c:v>
                </c:pt>
                <c:pt idx="7">
                  <c:v>4638.17</c:v>
                </c:pt>
                <c:pt idx="8">
                  <c:v>3579.83</c:v>
                </c:pt>
                <c:pt idx="9">
                  <c:v>3103.8</c:v>
                </c:pt>
                <c:pt idx="10">
                  <c:v>3941.9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71768"/>
        <c:axId val="254772552"/>
      </c:scatterChart>
      <c:valAx>
        <c:axId val="254771768"/>
        <c:scaling>
          <c:orientation val="minMax"/>
          <c:max val="4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Coating thickness (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772552"/>
        <c:crosses val="autoZero"/>
        <c:crossBetween val="midCat"/>
        <c:majorUnit val="50"/>
      </c:valAx>
      <c:valAx>
        <c:axId val="254772552"/>
        <c:scaling>
          <c:orientation val="minMax"/>
          <c:max val="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Power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254771768"/>
        <c:crosses val="autoZero"/>
        <c:crossBetween val="midCat"/>
        <c:majorUnit val="500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0</xdr:row>
      <xdr:rowOff>31749</xdr:rowOff>
    </xdr:from>
    <xdr:to>
      <xdr:col>14</xdr:col>
      <xdr:colOff>577851</xdr:colOff>
      <xdr:row>17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15874</xdr:colOff>
      <xdr:row>53</xdr:row>
      <xdr:rowOff>177800</xdr:rowOff>
    </xdr:from>
    <xdr:to>
      <xdr:col>14</xdr:col>
      <xdr:colOff>603250</xdr:colOff>
      <xdr:row>70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14</xdr:col>
      <xdr:colOff>600076</xdr:colOff>
      <xdr:row>35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14</xdr:col>
      <xdr:colOff>593726</xdr:colOff>
      <xdr:row>53</xdr:row>
      <xdr:rowOff>139700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571500</xdr:colOff>
      <xdr:row>72</xdr:row>
      <xdr:rowOff>6350</xdr:rowOff>
    </xdr:from>
    <xdr:to>
      <xdr:col>14</xdr:col>
      <xdr:colOff>587375</xdr:colOff>
      <xdr:row>89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90</xdr:row>
      <xdr:rowOff>0</xdr:rowOff>
    </xdr:from>
    <xdr:to>
      <xdr:col>15</xdr:col>
      <xdr:colOff>79376</xdr:colOff>
      <xdr:row>106</xdr:row>
      <xdr:rowOff>177800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o34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ig2-Fig3"/>
      <sheetName val="NaX"/>
      <sheetName val="Sheet1"/>
      <sheetName val="LiX"/>
      <sheetName val="NaA"/>
      <sheetName val="SAPO-34"/>
      <sheetName val="Sheet4"/>
      <sheetName val="NaY"/>
      <sheetName val="Al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400</v>
          </cell>
          <cell r="E2">
            <v>182.6</v>
          </cell>
          <cell r="F2">
            <v>549.48</v>
          </cell>
        </row>
        <row r="3">
          <cell r="A3">
            <v>300</v>
          </cell>
          <cell r="E3">
            <v>238.91</v>
          </cell>
          <cell r="F3">
            <v>705.99</v>
          </cell>
        </row>
        <row r="4">
          <cell r="A4">
            <v>200</v>
          </cell>
          <cell r="E4">
            <v>346.49</v>
          </cell>
          <cell r="F4">
            <v>982.39</v>
          </cell>
        </row>
        <row r="5">
          <cell r="A5">
            <v>150</v>
          </cell>
          <cell r="E5">
            <v>457.81</v>
          </cell>
          <cell r="F5">
            <v>1263.6600000000001</v>
          </cell>
        </row>
        <row r="6">
          <cell r="A6">
            <v>100</v>
          </cell>
          <cell r="E6">
            <v>655.37</v>
          </cell>
          <cell r="F6">
            <v>1734.76</v>
          </cell>
        </row>
        <row r="7">
          <cell r="A7">
            <v>75</v>
          </cell>
          <cell r="E7">
            <v>837.62</v>
          </cell>
          <cell r="F7">
            <v>2103.83</v>
          </cell>
        </row>
        <row r="8">
          <cell r="A8">
            <v>60</v>
          </cell>
          <cell r="E8">
            <v>988.22</v>
          </cell>
          <cell r="F8">
            <v>2353.3000000000002</v>
          </cell>
        </row>
        <row r="9">
          <cell r="A9">
            <v>50</v>
          </cell>
          <cell r="E9">
            <v>1082.71</v>
          </cell>
          <cell r="F9">
            <v>2581.86</v>
          </cell>
        </row>
        <row r="10">
          <cell r="A10">
            <v>25</v>
          </cell>
          <cell r="E10">
            <v>1047.92</v>
          </cell>
          <cell r="F10">
            <v>2739.53</v>
          </cell>
        </row>
        <row r="11">
          <cell r="A11">
            <v>20</v>
          </cell>
          <cell r="E11">
            <v>912.2</v>
          </cell>
          <cell r="F11">
            <v>2552.0300000000002</v>
          </cell>
        </row>
        <row r="12">
          <cell r="A12">
            <v>30</v>
          </cell>
          <cell r="E12">
            <v>1128.42</v>
          </cell>
          <cell r="F12">
            <v>2738.66</v>
          </cell>
        </row>
        <row r="21">
          <cell r="A21">
            <v>400</v>
          </cell>
          <cell r="E21">
            <v>114.3</v>
          </cell>
          <cell r="F21">
            <v>470.66</v>
          </cell>
        </row>
        <row r="22">
          <cell r="A22">
            <v>300</v>
          </cell>
          <cell r="E22">
            <v>149.88999999999999</v>
          </cell>
          <cell r="F22">
            <v>611.94000000000005</v>
          </cell>
        </row>
        <row r="23">
          <cell r="A23">
            <v>200</v>
          </cell>
          <cell r="E23">
            <v>216.18</v>
          </cell>
          <cell r="F23">
            <v>862.17</v>
          </cell>
        </row>
        <row r="24">
          <cell r="A24">
            <v>150</v>
          </cell>
          <cell r="E24">
            <v>281.5</v>
          </cell>
          <cell r="F24">
            <v>1109.93</v>
          </cell>
        </row>
        <row r="25">
          <cell r="A25">
            <v>100</v>
          </cell>
          <cell r="E25">
            <v>401.72</v>
          </cell>
          <cell r="F25">
            <v>1527.14</v>
          </cell>
        </row>
        <row r="26">
          <cell r="A26">
            <v>75</v>
          </cell>
          <cell r="E26">
            <v>512.04999999999995</v>
          </cell>
          <cell r="F26">
            <v>1852.28</v>
          </cell>
        </row>
        <row r="27">
          <cell r="A27">
            <v>60</v>
          </cell>
          <cell r="E27">
            <v>598.24</v>
          </cell>
          <cell r="F27">
            <v>2085.4899999999998</v>
          </cell>
        </row>
        <row r="28">
          <cell r="A28">
            <v>50</v>
          </cell>
          <cell r="E28">
            <v>655.39</v>
          </cell>
          <cell r="F28">
            <v>2278.6</v>
          </cell>
        </row>
        <row r="29">
          <cell r="A29">
            <v>25</v>
          </cell>
          <cell r="E29">
            <v>657.78</v>
          </cell>
          <cell r="F29">
            <v>2353.3000000000002</v>
          </cell>
        </row>
        <row r="30">
          <cell r="A30">
            <v>20</v>
          </cell>
          <cell r="E30">
            <v>582.42999999999995</v>
          </cell>
          <cell r="F30">
            <v>2175.02</v>
          </cell>
        </row>
        <row r="31">
          <cell r="A31">
            <v>30</v>
          </cell>
          <cell r="E31">
            <v>705.76</v>
          </cell>
          <cell r="F31">
            <v>2366.23</v>
          </cell>
        </row>
        <row r="38">
          <cell r="A38">
            <v>400</v>
          </cell>
          <cell r="E38">
            <v>705.87</v>
          </cell>
          <cell r="F38">
            <v>1907.6</v>
          </cell>
        </row>
        <row r="39">
          <cell r="A39">
            <v>300</v>
          </cell>
          <cell r="E39">
            <v>901.69</v>
          </cell>
          <cell r="F39">
            <v>2366.1999999999998</v>
          </cell>
        </row>
        <row r="40">
          <cell r="A40">
            <v>200</v>
          </cell>
          <cell r="E40">
            <v>1273.3800000000001</v>
          </cell>
          <cell r="F40">
            <v>3139.45</v>
          </cell>
        </row>
        <row r="41">
          <cell r="A41">
            <v>150</v>
          </cell>
          <cell r="E41">
            <v>1598.59</v>
          </cell>
          <cell r="F41">
            <v>3687.11</v>
          </cell>
        </row>
        <row r="42">
          <cell r="A42">
            <v>100</v>
          </cell>
          <cell r="E42">
            <v>1994.57</v>
          </cell>
          <cell r="F42">
            <v>4430.6000000000004</v>
          </cell>
        </row>
        <row r="43">
          <cell r="A43">
            <v>75</v>
          </cell>
          <cell r="E43">
            <v>2101.2399999999998</v>
          </cell>
          <cell r="F43">
            <v>4691.2299999999996</v>
          </cell>
        </row>
        <row r="44">
          <cell r="A44">
            <v>60</v>
          </cell>
          <cell r="E44">
            <v>2051.02</v>
          </cell>
          <cell r="F44">
            <v>4738.97</v>
          </cell>
        </row>
        <row r="45">
          <cell r="A45">
            <v>50</v>
          </cell>
          <cell r="E45">
            <v>1922.83</v>
          </cell>
          <cell r="F45">
            <v>4638.17</v>
          </cell>
        </row>
        <row r="46">
          <cell r="A46">
            <v>25</v>
          </cell>
          <cell r="E46">
            <v>1190.19</v>
          </cell>
          <cell r="F46">
            <v>3579.83</v>
          </cell>
        </row>
        <row r="47">
          <cell r="A47">
            <v>20</v>
          </cell>
          <cell r="E47">
            <v>988.22</v>
          </cell>
          <cell r="F47">
            <v>3103.8</v>
          </cell>
        </row>
        <row r="48">
          <cell r="A48">
            <v>30</v>
          </cell>
          <cell r="E48">
            <v>1376</v>
          </cell>
          <cell r="F48">
            <v>3941.9</v>
          </cell>
        </row>
        <row r="49">
          <cell r="E49">
            <v>70</v>
          </cell>
          <cell r="F49">
            <v>65</v>
          </cell>
        </row>
        <row r="55">
          <cell r="A55">
            <v>400</v>
          </cell>
          <cell r="E55">
            <v>431.58</v>
          </cell>
          <cell r="F55">
            <v>1616.34</v>
          </cell>
        </row>
        <row r="56">
          <cell r="A56">
            <v>300</v>
          </cell>
          <cell r="E56">
            <v>531.38</v>
          </cell>
          <cell r="F56">
            <v>1996.08</v>
          </cell>
        </row>
        <row r="57">
          <cell r="A57">
            <v>200</v>
          </cell>
          <cell r="E57">
            <v>776.74</v>
          </cell>
          <cell r="F57">
            <v>2633.97</v>
          </cell>
        </row>
        <row r="58">
          <cell r="A58">
            <v>150</v>
          </cell>
          <cell r="E58">
            <v>965.85</v>
          </cell>
          <cell r="F58">
            <v>3067.34</v>
          </cell>
        </row>
        <row r="59">
          <cell r="A59">
            <v>100</v>
          </cell>
          <cell r="E59">
            <v>1209.47</v>
          </cell>
          <cell r="F59">
            <v>3625.04</v>
          </cell>
        </row>
        <row r="60">
          <cell r="A60">
            <v>75</v>
          </cell>
          <cell r="E60">
            <v>1304.1300000000001</v>
          </cell>
          <cell r="F60">
            <v>3771.06</v>
          </cell>
        </row>
        <row r="61">
          <cell r="A61">
            <v>60</v>
          </cell>
          <cell r="E61">
            <v>1287.03</v>
          </cell>
          <cell r="F61">
            <v>3785.97</v>
          </cell>
        </row>
        <row r="62">
          <cell r="A62">
            <v>50</v>
          </cell>
          <cell r="E62">
            <v>1219.31</v>
          </cell>
          <cell r="F62">
            <v>3709.34</v>
          </cell>
        </row>
        <row r="63">
          <cell r="A63">
            <v>25</v>
          </cell>
          <cell r="E63">
            <v>775.73</v>
          </cell>
          <cell r="F63">
            <v>2760.6</v>
          </cell>
        </row>
        <row r="64">
          <cell r="A64">
            <v>20</v>
          </cell>
          <cell r="E64">
            <v>642.75</v>
          </cell>
          <cell r="F64">
            <v>2402.5300000000002</v>
          </cell>
        </row>
        <row r="65">
          <cell r="A65">
            <v>30</v>
          </cell>
          <cell r="E65">
            <v>896.86</v>
          </cell>
          <cell r="F65">
            <v>3059.71</v>
          </cell>
        </row>
        <row r="76">
          <cell r="A76">
            <v>400</v>
          </cell>
          <cell r="B76">
            <v>35.359422382671511</v>
          </cell>
          <cell r="C76">
            <v>448.10325038175063</v>
          </cell>
          <cell r="D76">
            <v>182.6</v>
          </cell>
          <cell r="E76">
            <v>549.48</v>
          </cell>
        </row>
        <row r="77">
          <cell r="A77">
            <v>300</v>
          </cell>
          <cell r="B77">
            <v>43.030493723849411</v>
          </cell>
          <cell r="C77">
            <v>569.95588864345473</v>
          </cell>
          <cell r="D77">
            <v>238.91</v>
          </cell>
          <cell r="E77">
            <v>705.99</v>
          </cell>
        </row>
        <row r="78">
          <cell r="A78">
            <v>200</v>
          </cell>
          <cell r="B78">
            <v>56.756556291390773</v>
          </cell>
          <cell r="C78">
            <v>785.01359383791817</v>
          </cell>
          <cell r="D78">
            <v>346.49</v>
          </cell>
          <cell r="E78">
            <v>982.39</v>
          </cell>
        </row>
        <row r="79">
          <cell r="A79">
            <v>150</v>
          </cell>
          <cell r="B79">
            <v>66.946283036063065</v>
          </cell>
          <cell r="C79">
            <v>968.66356303853206</v>
          </cell>
          <cell r="D79">
            <v>457.81</v>
          </cell>
          <cell r="E79">
            <v>1263.6600000000001</v>
          </cell>
        </row>
        <row r="80">
          <cell r="A80">
            <v>100</v>
          </cell>
          <cell r="B80">
            <v>85.488678304239471</v>
          </cell>
          <cell r="C80">
            <v>1217.1099999999999</v>
          </cell>
          <cell r="D80">
            <v>655.37</v>
          </cell>
          <cell r="E80">
            <v>1734.76</v>
          </cell>
        </row>
        <row r="81">
          <cell r="A81">
            <v>75</v>
          </cell>
          <cell r="B81">
            <v>100.2758190327614</v>
          </cell>
          <cell r="C81">
            <v>1305.6500000000001</v>
          </cell>
          <cell r="D81">
            <v>837.62</v>
          </cell>
          <cell r="E81">
            <v>2103.83</v>
          </cell>
        </row>
        <row r="82">
          <cell r="A82">
            <v>60</v>
          </cell>
          <cell r="B82">
            <v>107.57623430962354</v>
          </cell>
          <cell r="C82">
            <v>1291.55</v>
          </cell>
          <cell r="D82">
            <v>988.22</v>
          </cell>
          <cell r="E82">
            <v>2353.3000000000002</v>
          </cell>
        </row>
        <row r="83">
          <cell r="A83">
            <v>50</v>
          </cell>
          <cell r="B83">
            <v>115.89235970250178</v>
          </cell>
          <cell r="C83">
            <v>1213.6099999999999</v>
          </cell>
          <cell r="D83">
            <v>1082.71</v>
          </cell>
          <cell r="E83">
            <v>2581.86</v>
          </cell>
        </row>
        <row r="84">
          <cell r="A84">
            <v>25</v>
          </cell>
          <cell r="B84">
            <v>107.53124215809294</v>
          </cell>
          <cell r="C84">
            <v>771.81</v>
          </cell>
          <cell r="D84">
            <v>1047.92</v>
          </cell>
          <cell r="E84">
            <v>2739.53</v>
          </cell>
        </row>
        <row r="85">
          <cell r="A85">
            <v>20</v>
          </cell>
          <cell r="B85">
            <v>96.025098039215749</v>
          </cell>
          <cell r="C85">
            <v>639.9</v>
          </cell>
          <cell r="D85">
            <v>912.2</v>
          </cell>
          <cell r="E85">
            <v>2552.0300000000002</v>
          </cell>
        </row>
        <row r="86">
          <cell r="A86">
            <v>30</v>
          </cell>
          <cell r="C86">
            <v>888.5</v>
          </cell>
          <cell r="D86">
            <v>1128.42</v>
          </cell>
          <cell r="E86">
            <v>2738.66</v>
          </cell>
        </row>
        <row r="91">
          <cell r="A91">
            <v>400</v>
          </cell>
          <cell r="B91">
            <v>105.93621755253407</v>
          </cell>
          <cell r="C91">
            <v>1404.2803440891105</v>
          </cell>
          <cell r="D91">
            <v>705.87</v>
          </cell>
          <cell r="E91">
            <v>1907.6</v>
          </cell>
        </row>
        <row r="92">
          <cell r="A92">
            <v>300</v>
          </cell>
          <cell r="B92">
            <v>124.05655006031374</v>
          </cell>
          <cell r="C92">
            <v>1693.8662305540106</v>
          </cell>
          <cell r="D92">
            <v>901.69</v>
          </cell>
          <cell r="E92">
            <v>2366.1999999999998</v>
          </cell>
        </row>
        <row r="93">
          <cell r="A93">
            <v>200</v>
          </cell>
          <cell r="B93">
            <v>150.35508771929838</v>
          </cell>
          <cell r="C93">
            <v>2040.2768767381642</v>
          </cell>
          <cell r="D93">
            <v>1273.3800000000001</v>
          </cell>
          <cell r="E93">
            <v>3139.45</v>
          </cell>
        </row>
        <row r="94">
          <cell r="A94">
            <v>150</v>
          </cell>
          <cell r="B94">
            <v>167.87933398628809</v>
          </cell>
          <cell r="C94">
            <v>2154.7822116571429</v>
          </cell>
          <cell r="D94">
            <v>1598.59</v>
          </cell>
          <cell r="E94">
            <v>3687.11</v>
          </cell>
        </row>
        <row r="95">
          <cell r="A95">
            <v>100</v>
          </cell>
          <cell r="B95">
            <v>184.00944712828786</v>
          </cell>
          <cell r="C95">
            <v>2032.4221053166505</v>
          </cell>
          <cell r="D95">
            <v>1994.57</v>
          </cell>
          <cell r="E95">
            <v>4430.6000000000004</v>
          </cell>
        </row>
        <row r="96">
          <cell r="A96">
            <v>75</v>
          </cell>
          <cell r="B96">
            <v>186.71546840958624</v>
          </cell>
          <cell r="C96">
            <v>1799.7328699636362</v>
          </cell>
          <cell r="D96">
            <v>2101.2399999999998</v>
          </cell>
          <cell r="E96">
            <v>4691.2299999999996</v>
          </cell>
        </row>
        <row r="97">
          <cell r="A97">
            <v>60</v>
          </cell>
          <cell r="B97">
            <v>179.63821834061153</v>
          </cell>
          <cell r="C97">
            <v>1568.0840847207919</v>
          </cell>
          <cell r="D97">
            <v>2051.02</v>
          </cell>
          <cell r="E97">
            <v>4738.97</v>
          </cell>
        </row>
        <row r="98">
          <cell r="A98">
            <v>50</v>
          </cell>
          <cell r="B98">
            <v>171.23356643356658</v>
          </cell>
          <cell r="C98">
            <v>1389.267478568421</v>
          </cell>
          <cell r="D98">
            <v>1922.83</v>
          </cell>
          <cell r="E98">
            <v>4638.17</v>
          </cell>
        </row>
        <row r="99">
          <cell r="A99">
            <v>25</v>
          </cell>
          <cell r="B99">
            <v>120.36853932584279</v>
          </cell>
          <cell r="C99">
            <v>792.67513792192199</v>
          </cell>
          <cell r="D99">
            <v>1190.19</v>
          </cell>
          <cell r="E99">
            <v>3579.83</v>
          </cell>
        </row>
        <row r="100">
          <cell r="A100">
            <v>20</v>
          </cell>
          <cell r="B100">
            <v>107.12800000000009</v>
          </cell>
          <cell r="C100">
            <v>651.75511340246908</v>
          </cell>
          <cell r="D100">
            <v>988.22</v>
          </cell>
          <cell r="E100">
            <v>3103.8</v>
          </cell>
        </row>
        <row r="101">
          <cell r="A101">
            <v>30</v>
          </cell>
          <cell r="B101">
            <v>134.43513725490209</v>
          </cell>
          <cell r="C101">
            <v>930.25839974625535</v>
          </cell>
          <cell r="D101">
            <v>1376</v>
          </cell>
          <cell r="E101">
            <v>3941.9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4"/>
  <sheetViews>
    <sheetView topLeftCell="A92" workbookViewId="0">
      <selection activeCell="H105" sqref="H105"/>
    </sheetView>
  </sheetViews>
  <sheetFormatPr defaultRowHeight="14.5" x14ac:dyDescent="0.35"/>
  <sheetData>
    <row r="1" spans="1:8" x14ac:dyDescent="0.35">
      <c r="A1" s="1">
        <v>124.3</v>
      </c>
      <c r="B1">
        <v>0</v>
      </c>
      <c r="C1">
        <f>B2-B1</f>
        <v>1.6750000000000001E-2</v>
      </c>
      <c r="D1">
        <f>C1*6400*44590-4.2*18*23*6400*C1</f>
        <v>4593648.6399999997</v>
      </c>
      <c r="E1" s="3">
        <f>D1/(15380)</f>
        <v>298.6767646293888</v>
      </c>
      <c r="F1" s="3" t="s">
        <v>8</v>
      </c>
      <c r="H1" t="s">
        <v>3</v>
      </c>
    </row>
    <row r="2" spans="1:8" x14ac:dyDescent="0.35">
      <c r="A2" s="1">
        <v>25</v>
      </c>
      <c r="B2">
        <f t="shared" ref="B2:B64" si="0">0.028-0.00045*A2</f>
        <v>1.6750000000000001E-2</v>
      </c>
      <c r="D2" t="s">
        <v>0</v>
      </c>
      <c r="E2" s="3" t="s">
        <v>0</v>
      </c>
      <c r="F2" s="3"/>
      <c r="H2" t="s">
        <v>22</v>
      </c>
    </row>
    <row r="3" spans="1:8" x14ac:dyDescent="0.35">
      <c r="A3" s="1">
        <v>124.3</v>
      </c>
      <c r="B3">
        <v>0</v>
      </c>
      <c r="C3">
        <f>B4-B3</f>
        <v>1.6750000000000001E-2</v>
      </c>
      <c r="D3">
        <f>C3*2400*44590-4.2*18*23*2400*C3</f>
        <v>1722618.2400000002</v>
      </c>
      <c r="E3" s="3">
        <f>D3/(2440)</f>
        <v>705.99108196721318</v>
      </c>
      <c r="F3" s="3">
        <v>300</v>
      </c>
    </row>
    <row r="4" spans="1:8" x14ac:dyDescent="0.35">
      <c r="A4" s="1">
        <v>25</v>
      </c>
      <c r="B4">
        <f t="shared" si="0"/>
        <v>1.6750000000000001E-2</v>
      </c>
      <c r="D4" t="s">
        <v>0</v>
      </c>
      <c r="E4" s="3" t="s">
        <v>0</v>
      </c>
      <c r="F4" s="3"/>
    </row>
    <row r="5" spans="1:8" x14ac:dyDescent="0.35">
      <c r="A5" s="1">
        <v>124.3</v>
      </c>
      <c r="B5">
        <v>0</v>
      </c>
      <c r="C5">
        <f>B6-B5</f>
        <v>1.6750000000000001E-2</v>
      </c>
      <c r="D5">
        <f>C5*1600*44590-4.2*18*23*1600*C5</f>
        <v>1148412.1599999999</v>
      </c>
      <c r="E5" s="3">
        <f>D5/(1169)</f>
        <v>982.3885029940119</v>
      </c>
      <c r="F5" s="3">
        <v>200</v>
      </c>
    </row>
    <row r="6" spans="1:8" x14ac:dyDescent="0.35">
      <c r="A6" s="1">
        <v>25</v>
      </c>
      <c r="B6">
        <f t="shared" si="0"/>
        <v>1.6750000000000001E-2</v>
      </c>
      <c r="D6" t="s">
        <v>0</v>
      </c>
      <c r="E6" s="3" t="s">
        <v>0</v>
      </c>
      <c r="F6" s="3"/>
      <c r="H6" t="s">
        <v>0</v>
      </c>
    </row>
    <row r="7" spans="1:8" x14ac:dyDescent="0.35">
      <c r="A7" s="1">
        <v>124.3</v>
      </c>
      <c r="B7">
        <v>0</v>
      </c>
      <c r="C7">
        <f>B8-B7</f>
        <v>1.6750000000000001E-2</v>
      </c>
      <c r="D7">
        <f>C7*1200*44590-4.2*18*23*1200*C7</f>
        <v>861309.12000000011</v>
      </c>
      <c r="E7" s="3">
        <f>D7/(681.6)</f>
        <v>1263.6577464788734</v>
      </c>
      <c r="F7" s="3">
        <v>150</v>
      </c>
    </row>
    <row r="8" spans="1:8" x14ac:dyDescent="0.35">
      <c r="A8" s="1">
        <v>25</v>
      </c>
      <c r="B8">
        <f t="shared" si="0"/>
        <v>1.6750000000000001E-2</v>
      </c>
      <c r="D8" t="s">
        <v>0</v>
      </c>
      <c r="E8" s="3" t="s">
        <v>0</v>
      </c>
      <c r="F8" s="3"/>
    </row>
    <row r="9" spans="1:8" x14ac:dyDescent="0.35">
      <c r="A9" s="1">
        <v>124.3</v>
      </c>
      <c r="B9">
        <v>0</v>
      </c>
      <c r="C9">
        <f>B10-B9</f>
        <v>1.6750000000000001E-2</v>
      </c>
      <c r="D9">
        <f>C9*800*44590-4.2*18*23*800*C9</f>
        <v>574206.07999999996</v>
      </c>
      <c r="E9" s="3">
        <f>D9/(331)</f>
        <v>1734.7615709969787</v>
      </c>
      <c r="F9" s="3">
        <v>100</v>
      </c>
    </row>
    <row r="10" spans="1:8" x14ac:dyDescent="0.35">
      <c r="A10" s="1">
        <v>25</v>
      </c>
      <c r="B10">
        <f t="shared" si="0"/>
        <v>1.6750000000000001E-2</v>
      </c>
      <c r="D10" t="s">
        <v>0</v>
      </c>
      <c r="E10" s="3" t="s">
        <v>0</v>
      </c>
      <c r="F10" s="3"/>
    </row>
    <row r="11" spans="1:8" x14ac:dyDescent="0.35">
      <c r="A11" s="1">
        <v>124.3</v>
      </c>
      <c r="B11">
        <v>0</v>
      </c>
      <c r="C11">
        <f>B12-B11</f>
        <v>1.6750000000000001E-2</v>
      </c>
      <c r="D11">
        <f>C11*600*44590-4.2*18*23*600*C11</f>
        <v>430654.56000000006</v>
      </c>
      <c r="E11" s="3">
        <f>D11/(204.7)</f>
        <v>2103.8327308255989</v>
      </c>
      <c r="F11" s="3">
        <v>75</v>
      </c>
    </row>
    <row r="12" spans="1:8" x14ac:dyDescent="0.35">
      <c r="A12" s="1">
        <v>25</v>
      </c>
      <c r="B12">
        <f t="shared" si="0"/>
        <v>1.6750000000000001E-2</v>
      </c>
      <c r="D12" t="s">
        <v>0</v>
      </c>
      <c r="E12" s="3" t="s">
        <v>0</v>
      </c>
      <c r="F12" s="3"/>
    </row>
    <row r="13" spans="1:8" x14ac:dyDescent="0.35">
      <c r="A13" s="1">
        <v>124.3</v>
      </c>
      <c r="B13">
        <v>0</v>
      </c>
      <c r="C13">
        <f>B14-B13</f>
        <v>1.6750000000000001E-2</v>
      </c>
      <c r="D13">
        <f>C13*480*44590-4.2*18*23*480*C13</f>
        <v>344523.64800000004</v>
      </c>
      <c r="E13" s="3">
        <f>D13/(146.4)</f>
        <v>2353.3036065573774</v>
      </c>
      <c r="F13" s="3">
        <v>60</v>
      </c>
    </row>
    <row r="14" spans="1:8" x14ac:dyDescent="0.35">
      <c r="A14" s="1">
        <v>25</v>
      </c>
      <c r="B14">
        <f t="shared" si="0"/>
        <v>1.6750000000000001E-2</v>
      </c>
      <c r="D14" t="s">
        <v>0</v>
      </c>
      <c r="E14" s="3" t="s">
        <v>0</v>
      </c>
      <c r="F14" s="3"/>
    </row>
    <row r="15" spans="1:8" x14ac:dyDescent="0.35">
      <c r="A15" s="1">
        <v>124.3</v>
      </c>
      <c r="B15">
        <v>0</v>
      </c>
      <c r="C15">
        <f>B16-B15</f>
        <v>1.6750000000000001E-2</v>
      </c>
      <c r="D15">
        <f>C15*400*44590-4.2*18*23*400*C15</f>
        <v>287103.03999999998</v>
      </c>
      <c r="E15" s="3">
        <f>D15/(111.2)</f>
        <v>2581.8618705035969</v>
      </c>
      <c r="F15" s="3">
        <v>50</v>
      </c>
    </row>
    <row r="16" spans="1:8" x14ac:dyDescent="0.35">
      <c r="A16" s="1">
        <v>25</v>
      </c>
      <c r="B16">
        <f t="shared" si="0"/>
        <v>1.6750000000000001E-2</v>
      </c>
      <c r="D16" t="s">
        <v>0</v>
      </c>
      <c r="E16" s="3" t="s">
        <v>0</v>
      </c>
      <c r="F16" s="3"/>
    </row>
    <row r="17" spans="1:7" x14ac:dyDescent="0.35">
      <c r="A17" s="1">
        <v>124.3</v>
      </c>
      <c r="B17">
        <v>0</v>
      </c>
      <c r="C17">
        <f>B18-B17</f>
        <v>1.6750000000000001E-2</v>
      </c>
      <c r="D17">
        <f>C17*200*44590-4.2*18*23*200*C17</f>
        <v>143551.51999999999</v>
      </c>
      <c r="E17" s="3">
        <f>D17/(52.4)</f>
        <v>2739.5328244274806</v>
      </c>
      <c r="F17" s="3">
        <v>25</v>
      </c>
    </row>
    <row r="18" spans="1:7" x14ac:dyDescent="0.35">
      <c r="A18" s="1">
        <v>25</v>
      </c>
      <c r="B18">
        <f t="shared" si="0"/>
        <v>1.6750000000000001E-2</v>
      </c>
      <c r="D18" t="s">
        <v>0</v>
      </c>
      <c r="E18" s="3" t="s">
        <v>0</v>
      </c>
      <c r="F18" s="3"/>
    </row>
    <row r="19" spans="1:7" x14ac:dyDescent="0.35">
      <c r="A19" s="1">
        <v>124.3</v>
      </c>
      <c r="B19">
        <v>0</v>
      </c>
      <c r="C19">
        <f>B20-B19</f>
        <v>1.6750000000000001E-2</v>
      </c>
      <c r="D19">
        <f>C19*160*44590-4.2*18*23*160*C19</f>
        <v>114841.21600000001</v>
      </c>
      <c r="E19" s="3">
        <f>D19/(45)</f>
        <v>2552.0270222222225</v>
      </c>
      <c r="F19" s="3">
        <v>20</v>
      </c>
    </row>
    <row r="20" spans="1:7" x14ac:dyDescent="0.35">
      <c r="A20" s="1">
        <v>25</v>
      </c>
      <c r="B20">
        <f t="shared" si="0"/>
        <v>1.6750000000000001E-2</v>
      </c>
      <c r="D20" t="s">
        <v>0</v>
      </c>
      <c r="E20" s="3" t="s">
        <v>0</v>
      </c>
      <c r="F20" s="3"/>
    </row>
    <row r="21" spans="1:7" x14ac:dyDescent="0.35">
      <c r="A21" s="1">
        <v>124.3</v>
      </c>
      <c r="B21">
        <v>0</v>
      </c>
      <c r="C21">
        <f>B22-B21</f>
        <v>1.6750000000000001E-2</v>
      </c>
      <c r="D21">
        <f>C21*240*44590-4.2*18*23*240*C21</f>
        <v>172261.82400000002</v>
      </c>
      <c r="E21" s="3">
        <f>D21/(62.9)</f>
        <v>2738.6617488076317</v>
      </c>
      <c r="F21" s="3">
        <v>30</v>
      </c>
    </row>
    <row r="22" spans="1:7" x14ac:dyDescent="0.35">
      <c r="A22" s="1">
        <v>25</v>
      </c>
      <c r="B22">
        <f t="shared" si="0"/>
        <v>1.6750000000000001E-2</v>
      </c>
      <c r="D22" t="s">
        <v>0</v>
      </c>
      <c r="E22" s="3" t="s">
        <v>0</v>
      </c>
      <c r="F22" s="3"/>
    </row>
    <row r="23" spans="1:7" x14ac:dyDescent="0.35">
      <c r="B23" t="s">
        <v>0</v>
      </c>
      <c r="E23" s="3"/>
      <c r="F23" s="3"/>
    </row>
    <row r="24" spans="1:7" x14ac:dyDescent="0.35">
      <c r="B24" t="s">
        <v>0</v>
      </c>
      <c r="E24" s="3"/>
      <c r="F24" s="3"/>
    </row>
    <row r="25" spans="1:7" x14ac:dyDescent="0.35">
      <c r="B25" t="s">
        <v>0</v>
      </c>
      <c r="E25" s="3"/>
      <c r="F25" s="3"/>
    </row>
    <row r="26" spans="1:7" x14ac:dyDescent="0.35">
      <c r="B26" t="s">
        <v>0</v>
      </c>
      <c r="E26" s="3"/>
      <c r="F26" s="3"/>
      <c r="G26" t="s">
        <v>23</v>
      </c>
    </row>
    <row r="27" spans="1:7" x14ac:dyDescent="0.35">
      <c r="A27" s="1">
        <v>79.8</v>
      </c>
      <c r="B27">
        <v>0</v>
      </c>
      <c r="C27">
        <f>B28-B27</f>
        <v>1.6750000000000001E-2</v>
      </c>
      <c r="D27">
        <f>C27*3200*44590-4.2*18*23*3200*C27</f>
        <v>2296824.3199999998</v>
      </c>
      <c r="E27" s="3">
        <f>D27/(4880)</f>
        <v>470.66072131147536</v>
      </c>
      <c r="F27" s="3" t="s">
        <v>8</v>
      </c>
    </row>
    <row r="28" spans="1:7" x14ac:dyDescent="0.35">
      <c r="A28" s="1">
        <v>25</v>
      </c>
      <c r="B28">
        <f t="shared" si="0"/>
        <v>1.6750000000000001E-2</v>
      </c>
      <c r="C28" t="s">
        <v>0</v>
      </c>
      <c r="D28" t="s">
        <v>0</v>
      </c>
      <c r="E28" s="3" t="s">
        <v>0</v>
      </c>
      <c r="F28" s="3"/>
    </row>
    <row r="29" spans="1:7" x14ac:dyDescent="0.35">
      <c r="A29" s="1">
        <v>79.8</v>
      </c>
      <c r="B29">
        <v>0</v>
      </c>
      <c r="C29">
        <f t="shared" ref="C29:C51" si="1">B30-B29</f>
        <v>1.6750000000000001E-2</v>
      </c>
      <c r="D29">
        <f>C29*2400*44590-4.2*18*23*2400*C29</f>
        <v>1722618.2400000002</v>
      </c>
      <c r="E29" s="3">
        <f>D29/(2815)</f>
        <v>611.9425364120782</v>
      </c>
      <c r="F29" s="3">
        <v>300</v>
      </c>
    </row>
    <row r="30" spans="1:7" x14ac:dyDescent="0.35">
      <c r="A30" s="2">
        <v>25</v>
      </c>
      <c r="B30">
        <f t="shared" si="0"/>
        <v>1.6750000000000001E-2</v>
      </c>
      <c r="C30" t="s">
        <v>0</v>
      </c>
      <c r="D30" t="s">
        <v>0</v>
      </c>
      <c r="E30" s="3" t="s">
        <v>0</v>
      </c>
      <c r="F30" s="3"/>
    </row>
    <row r="31" spans="1:7" x14ac:dyDescent="0.35">
      <c r="A31" s="1">
        <v>79.8</v>
      </c>
      <c r="B31">
        <v>0</v>
      </c>
      <c r="C31">
        <f t="shared" si="1"/>
        <v>1.6750000000000001E-2</v>
      </c>
      <c r="D31">
        <f>C31*1600*44590-4.2*18*23*1600*C31</f>
        <v>1148412.1599999999</v>
      </c>
      <c r="E31" s="3">
        <f>D31/(1332)</f>
        <v>862.17129129129125</v>
      </c>
      <c r="F31" s="3">
        <v>200</v>
      </c>
    </row>
    <row r="32" spans="1:7" x14ac:dyDescent="0.35">
      <c r="A32" s="2">
        <v>25</v>
      </c>
      <c r="B32">
        <f t="shared" si="0"/>
        <v>1.6750000000000001E-2</v>
      </c>
      <c r="C32" t="s">
        <v>0</v>
      </c>
      <c r="D32" t="s">
        <v>0</v>
      </c>
      <c r="E32" s="3" t="s">
        <v>0</v>
      </c>
      <c r="F32" s="3"/>
    </row>
    <row r="33" spans="1:8" x14ac:dyDescent="0.35">
      <c r="A33" s="1">
        <v>79.8</v>
      </c>
      <c r="B33">
        <v>0</v>
      </c>
      <c r="C33">
        <f t="shared" si="1"/>
        <v>1.6750000000000001E-2</v>
      </c>
      <c r="D33">
        <f>C33*1200*44590-4.2*18*23*1200*C33</f>
        <v>861309.12000000011</v>
      </c>
      <c r="E33" s="3">
        <f>D33/(776)</f>
        <v>1109.9344329896908</v>
      </c>
      <c r="F33" s="3">
        <v>150</v>
      </c>
    </row>
    <row r="34" spans="1:8" x14ac:dyDescent="0.35">
      <c r="A34" s="2">
        <v>25</v>
      </c>
      <c r="B34">
        <f t="shared" si="0"/>
        <v>1.6750000000000001E-2</v>
      </c>
      <c r="C34" t="s">
        <v>0</v>
      </c>
      <c r="D34" t="s">
        <v>0</v>
      </c>
      <c r="E34" s="3" t="s">
        <v>0</v>
      </c>
      <c r="F34" s="3"/>
    </row>
    <row r="35" spans="1:8" x14ac:dyDescent="0.35">
      <c r="A35" s="1">
        <v>79.8</v>
      </c>
      <c r="B35">
        <v>0</v>
      </c>
      <c r="C35">
        <f t="shared" si="1"/>
        <v>1.6750000000000001E-2</v>
      </c>
      <c r="D35">
        <f>C35*800*44590-4.2*18*23*800*C35</f>
        <v>574206.07999999996</v>
      </c>
      <c r="E35" s="3">
        <f>D35/(376)</f>
        <v>1527.1438297872339</v>
      </c>
      <c r="F35" s="3">
        <v>100</v>
      </c>
    </row>
    <row r="36" spans="1:8" x14ac:dyDescent="0.35">
      <c r="A36" s="2">
        <v>25</v>
      </c>
      <c r="B36">
        <f t="shared" si="0"/>
        <v>1.6750000000000001E-2</v>
      </c>
      <c r="C36" t="s">
        <v>0</v>
      </c>
      <c r="D36" t="s">
        <v>0</v>
      </c>
      <c r="E36" s="3" t="s">
        <v>0</v>
      </c>
      <c r="F36" s="3"/>
    </row>
    <row r="37" spans="1:8" x14ac:dyDescent="0.35">
      <c r="A37" s="1">
        <v>79.8</v>
      </c>
      <c r="B37">
        <v>0</v>
      </c>
      <c r="C37">
        <f t="shared" si="1"/>
        <v>1.6750000000000001E-2</v>
      </c>
      <c r="D37">
        <f>C37*600*44590-4.2*18*23*600*C37</f>
        <v>430654.56000000006</v>
      </c>
      <c r="E37" s="3">
        <f>D37/(232.5)</f>
        <v>1852.2776774193551</v>
      </c>
      <c r="F37" s="3">
        <v>75</v>
      </c>
    </row>
    <row r="38" spans="1:8" x14ac:dyDescent="0.35">
      <c r="A38" s="2">
        <v>25</v>
      </c>
      <c r="B38">
        <f t="shared" si="0"/>
        <v>1.6750000000000001E-2</v>
      </c>
      <c r="C38" t="s">
        <v>0</v>
      </c>
      <c r="D38" t="s">
        <v>0</v>
      </c>
      <c r="E38" s="3" t="s">
        <v>0</v>
      </c>
      <c r="F38" s="3"/>
    </row>
    <row r="39" spans="1:8" x14ac:dyDescent="0.35">
      <c r="A39" s="1">
        <v>79.8</v>
      </c>
      <c r="B39">
        <v>0</v>
      </c>
      <c r="C39">
        <f t="shared" si="1"/>
        <v>1.6750000000000001E-2</v>
      </c>
      <c r="D39">
        <f>C39*480*44590-4.2*18*23*480*C39</f>
        <v>344523.64800000004</v>
      </c>
      <c r="E39" s="3">
        <f>D39/(165.2)</f>
        <v>2085.494237288136</v>
      </c>
      <c r="F39" s="3">
        <v>60</v>
      </c>
    </row>
    <row r="40" spans="1:8" x14ac:dyDescent="0.35">
      <c r="A40">
        <v>25</v>
      </c>
      <c r="B40">
        <f t="shared" si="0"/>
        <v>1.6750000000000001E-2</v>
      </c>
      <c r="C40" t="s">
        <v>0</v>
      </c>
      <c r="D40" t="s">
        <v>0</v>
      </c>
      <c r="E40" s="3" t="s">
        <v>0</v>
      </c>
      <c r="F40" s="3"/>
    </row>
    <row r="41" spans="1:8" x14ac:dyDescent="0.35">
      <c r="A41" s="1">
        <v>79.8</v>
      </c>
      <c r="B41">
        <v>0</v>
      </c>
      <c r="C41">
        <f t="shared" si="1"/>
        <v>1.6750000000000001E-2</v>
      </c>
      <c r="D41">
        <f>C41*400*44590-4.2*18*23*400*C41</f>
        <v>287103.03999999998</v>
      </c>
      <c r="E41" s="3">
        <f>D41/(126)</f>
        <v>2278.5955555555552</v>
      </c>
      <c r="F41" s="3">
        <v>50</v>
      </c>
    </row>
    <row r="42" spans="1:8" x14ac:dyDescent="0.35">
      <c r="A42">
        <v>25</v>
      </c>
      <c r="B42">
        <f t="shared" si="0"/>
        <v>1.6750000000000001E-2</v>
      </c>
      <c r="C42" t="s">
        <v>0</v>
      </c>
      <c r="D42" t="s">
        <v>0</v>
      </c>
      <c r="E42" s="3" t="s">
        <v>0</v>
      </c>
      <c r="F42" s="3"/>
    </row>
    <row r="43" spans="1:8" x14ac:dyDescent="0.35">
      <c r="A43" s="1">
        <v>79.8</v>
      </c>
      <c r="B43">
        <v>0</v>
      </c>
      <c r="C43">
        <f t="shared" si="1"/>
        <v>1.6750000000000001E-2</v>
      </c>
      <c r="D43">
        <f>C43*200*44590-4.2*18*23*200*C43</f>
        <v>143551.51999999999</v>
      </c>
      <c r="E43" s="3">
        <f>D43/(61)</f>
        <v>2353.303606557377</v>
      </c>
      <c r="F43" s="3">
        <v>25</v>
      </c>
    </row>
    <row r="44" spans="1:8" x14ac:dyDescent="0.35">
      <c r="A44">
        <v>25</v>
      </c>
      <c r="B44">
        <f t="shared" si="0"/>
        <v>1.6750000000000001E-2</v>
      </c>
      <c r="C44" t="s">
        <v>0</v>
      </c>
      <c r="D44" t="s">
        <v>0</v>
      </c>
      <c r="E44" s="3" t="s">
        <v>0</v>
      </c>
      <c r="F44" s="3"/>
    </row>
    <row r="45" spans="1:8" x14ac:dyDescent="0.35">
      <c r="A45" s="1">
        <v>79.8</v>
      </c>
      <c r="B45">
        <v>0</v>
      </c>
      <c r="C45">
        <f t="shared" si="1"/>
        <v>1.6750000000000001E-2</v>
      </c>
      <c r="D45">
        <f>C45*160*44590-4.2*18*23*160*C45</f>
        <v>114841.21600000001</v>
      </c>
      <c r="E45" s="3">
        <f>D45/52.8</f>
        <v>2175.0230303030307</v>
      </c>
      <c r="F45" s="3">
        <v>20</v>
      </c>
    </row>
    <row r="46" spans="1:8" x14ac:dyDescent="0.35">
      <c r="A46">
        <v>25</v>
      </c>
      <c r="B46">
        <f t="shared" si="0"/>
        <v>1.6750000000000001E-2</v>
      </c>
      <c r="C46" t="s">
        <v>0</v>
      </c>
      <c r="D46" t="s">
        <v>0</v>
      </c>
      <c r="E46" s="3" t="s">
        <v>0</v>
      </c>
      <c r="F46" s="3"/>
    </row>
    <row r="47" spans="1:8" x14ac:dyDescent="0.35">
      <c r="A47" s="1">
        <v>79.8</v>
      </c>
      <c r="B47">
        <v>0</v>
      </c>
      <c r="C47">
        <f t="shared" si="1"/>
        <v>1.6750000000000001E-2</v>
      </c>
      <c r="D47">
        <f>C47*240*44590-4.2*18*23*240*C47</f>
        <v>172261.82400000002</v>
      </c>
      <c r="E47" s="3">
        <f>D47/(72.8)</f>
        <v>2366.2338461538466</v>
      </c>
      <c r="F47" s="3">
        <v>30</v>
      </c>
      <c r="H47" t="s">
        <v>0</v>
      </c>
    </row>
    <row r="48" spans="1:8" x14ac:dyDescent="0.35">
      <c r="A48">
        <v>25</v>
      </c>
      <c r="B48">
        <f t="shared" si="0"/>
        <v>1.6750000000000001E-2</v>
      </c>
      <c r="C48" t="s">
        <v>0</v>
      </c>
      <c r="D48" t="s">
        <v>0</v>
      </c>
      <c r="E48" s="3" t="s">
        <v>0</v>
      </c>
      <c r="F48" s="3"/>
    </row>
    <row r="49" spans="1:7" x14ac:dyDescent="0.35">
      <c r="A49" s="1">
        <v>79.8</v>
      </c>
      <c r="B49">
        <v>0</v>
      </c>
      <c r="C49">
        <f t="shared" si="1"/>
        <v>1.6750000000000001E-2</v>
      </c>
      <c r="D49">
        <f>C49*280*44590-4.2*18*23*280*C49</f>
        <v>200972.128</v>
      </c>
      <c r="E49" s="3">
        <f>D49/(82.3)</f>
        <v>2441.9456622114217</v>
      </c>
      <c r="F49" s="3">
        <v>35</v>
      </c>
    </row>
    <row r="50" spans="1:7" x14ac:dyDescent="0.35">
      <c r="A50">
        <v>25</v>
      </c>
      <c r="B50">
        <f t="shared" si="0"/>
        <v>1.6750000000000001E-2</v>
      </c>
      <c r="C50" t="s">
        <v>0</v>
      </c>
      <c r="D50" t="s">
        <v>0</v>
      </c>
      <c r="E50" s="3" t="s">
        <v>0</v>
      </c>
      <c r="F50" s="3"/>
    </row>
    <row r="51" spans="1:7" x14ac:dyDescent="0.35">
      <c r="A51" s="1">
        <v>79.8</v>
      </c>
      <c r="B51">
        <v>0</v>
      </c>
      <c r="C51">
        <f t="shared" si="1"/>
        <v>1.6750000000000001E-2</v>
      </c>
      <c r="D51">
        <f>C51*320*44590-4.2*18*23*320*C51</f>
        <v>229682.43200000003</v>
      </c>
      <c r="E51" s="3">
        <f>D51/(94.2)</f>
        <v>2438.2423779193209</v>
      </c>
      <c r="F51" s="3">
        <v>40</v>
      </c>
    </row>
    <row r="52" spans="1:7" x14ac:dyDescent="0.35">
      <c r="A52">
        <v>25</v>
      </c>
      <c r="B52">
        <f t="shared" si="0"/>
        <v>1.6750000000000001E-2</v>
      </c>
      <c r="E52" s="3"/>
      <c r="F52" s="3"/>
    </row>
    <row r="53" spans="1:7" x14ac:dyDescent="0.35">
      <c r="A53" s="1">
        <v>79.8</v>
      </c>
      <c r="B53">
        <v>0</v>
      </c>
      <c r="C53">
        <f>B54-B53</f>
        <v>1.6750000000000001E-2</v>
      </c>
      <c r="D53">
        <f>C53*3200*44590-4.2*18*23*3200*C53</f>
        <v>2296824.3199999998</v>
      </c>
      <c r="E53" s="3">
        <f>D53/(1421)</f>
        <v>1616.3436453201969</v>
      </c>
      <c r="F53" s="3" t="s">
        <v>8</v>
      </c>
      <c r="G53" t="s">
        <v>24</v>
      </c>
    </row>
    <row r="54" spans="1:7" x14ac:dyDescent="0.35">
      <c r="A54" s="1">
        <v>25</v>
      </c>
      <c r="B54">
        <f t="shared" si="0"/>
        <v>1.6750000000000001E-2</v>
      </c>
      <c r="D54" t="s">
        <v>0</v>
      </c>
      <c r="E54" s="3" t="s">
        <v>0</v>
      </c>
      <c r="F54" s="3"/>
    </row>
    <row r="55" spans="1:7" x14ac:dyDescent="0.35">
      <c r="A55" s="1">
        <v>79.8</v>
      </c>
      <c r="B55">
        <v>0</v>
      </c>
      <c r="C55">
        <f>B56-B55</f>
        <v>1.6750000000000001E-2</v>
      </c>
      <c r="D55">
        <f>C55*2400*44590-4.2*18*23*2400*C55</f>
        <v>1722618.2400000002</v>
      </c>
      <c r="E55" s="3">
        <f>D55/(863)</f>
        <v>1996.0813904982622</v>
      </c>
      <c r="F55" s="3">
        <v>300</v>
      </c>
    </row>
    <row r="56" spans="1:7" x14ac:dyDescent="0.35">
      <c r="A56" s="2">
        <v>25</v>
      </c>
      <c r="B56">
        <f t="shared" si="0"/>
        <v>1.6750000000000001E-2</v>
      </c>
      <c r="D56" t="s">
        <v>0</v>
      </c>
      <c r="E56" s="3" t="s">
        <v>0</v>
      </c>
      <c r="F56" s="3"/>
    </row>
    <row r="57" spans="1:7" x14ac:dyDescent="0.35">
      <c r="A57" s="1">
        <v>79.8</v>
      </c>
      <c r="B57">
        <v>0</v>
      </c>
      <c r="C57">
        <f>B58-B57</f>
        <v>1.6750000000000001E-2</v>
      </c>
      <c r="D57">
        <f>C57*1600*44590-4.2*18*23*1600*C57</f>
        <v>1148412.1599999999</v>
      </c>
      <c r="E57" s="3">
        <f>D57/(436)</f>
        <v>2633.9728440366971</v>
      </c>
      <c r="F57" s="3">
        <v>200</v>
      </c>
    </row>
    <row r="58" spans="1:7" x14ac:dyDescent="0.35">
      <c r="A58" s="2">
        <v>25</v>
      </c>
      <c r="B58">
        <f t="shared" si="0"/>
        <v>1.6750000000000001E-2</v>
      </c>
      <c r="D58" t="s">
        <v>0</v>
      </c>
      <c r="E58" s="3" t="s">
        <v>0</v>
      </c>
      <c r="F58" s="3"/>
    </row>
    <row r="59" spans="1:7" x14ac:dyDescent="0.35">
      <c r="A59" s="1">
        <v>79.8</v>
      </c>
      <c r="B59">
        <v>0</v>
      </c>
      <c r="C59">
        <f>B60-B59</f>
        <v>1.6750000000000001E-2</v>
      </c>
      <c r="D59">
        <f>C59*1200*44590-4.2*18*23*1200*C59</f>
        <v>861309.12000000011</v>
      </c>
      <c r="E59" s="3">
        <f>D59/(280.8)</f>
        <v>3067.340170940171</v>
      </c>
      <c r="F59" s="3">
        <v>150</v>
      </c>
    </row>
    <row r="60" spans="1:7" x14ac:dyDescent="0.35">
      <c r="A60" s="2">
        <v>25</v>
      </c>
      <c r="B60">
        <f t="shared" si="0"/>
        <v>1.6750000000000001E-2</v>
      </c>
      <c r="D60" t="s">
        <v>0</v>
      </c>
      <c r="E60" s="3" t="s">
        <v>0</v>
      </c>
      <c r="F60" s="3"/>
    </row>
    <row r="61" spans="1:7" x14ac:dyDescent="0.35">
      <c r="A61" s="1">
        <v>79.8</v>
      </c>
      <c r="B61">
        <v>0</v>
      </c>
      <c r="C61">
        <f>B62-B61</f>
        <v>1.6750000000000001E-2</v>
      </c>
      <c r="D61">
        <f>C61*800*44590-4.2*18*23*800*C61</f>
        <v>574206.07999999996</v>
      </c>
      <c r="E61" s="3">
        <f>D61/(158.4)</f>
        <v>3625.0383838383837</v>
      </c>
      <c r="F61" s="3">
        <v>100</v>
      </c>
    </row>
    <row r="62" spans="1:7" x14ac:dyDescent="0.35">
      <c r="A62" s="2">
        <v>25</v>
      </c>
      <c r="B62">
        <f t="shared" si="0"/>
        <v>1.6750000000000001E-2</v>
      </c>
      <c r="D62" t="s">
        <v>0</v>
      </c>
      <c r="E62" s="3" t="s">
        <v>0</v>
      </c>
      <c r="F62" s="3"/>
    </row>
    <row r="63" spans="1:7" x14ac:dyDescent="0.35">
      <c r="A63" s="1">
        <v>79.8</v>
      </c>
      <c r="B63">
        <v>0</v>
      </c>
      <c r="C63">
        <f>B64-B63</f>
        <v>1.6750000000000001E-2</v>
      </c>
      <c r="D63">
        <f>C63*600*44590-4.2*18*23*600*C63</f>
        <v>430654.56000000006</v>
      </c>
      <c r="E63" s="3">
        <f>D63/(114.2)</f>
        <v>3771.0556917688268</v>
      </c>
      <c r="F63" s="3">
        <v>75</v>
      </c>
    </row>
    <row r="64" spans="1:7" x14ac:dyDescent="0.35">
      <c r="A64" s="2">
        <v>25</v>
      </c>
      <c r="B64">
        <f t="shared" si="0"/>
        <v>1.6750000000000001E-2</v>
      </c>
      <c r="D64" t="s">
        <v>0</v>
      </c>
      <c r="E64" s="3" t="s">
        <v>0</v>
      </c>
      <c r="F64" s="3"/>
    </row>
    <row r="65" spans="1:7" x14ac:dyDescent="0.35">
      <c r="A65" s="1">
        <v>79.8</v>
      </c>
      <c r="B65">
        <v>0</v>
      </c>
      <c r="C65">
        <f>B66-B65</f>
        <v>1.6750000000000001E-2</v>
      </c>
      <c r="D65">
        <f>C65*480*44590-4.2*18*23*480*C65</f>
        <v>344523.64800000004</v>
      </c>
      <c r="E65" s="3">
        <f>D65/(91)</f>
        <v>3785.9741538461544</v>
      </c>
      <c r="F65" s="3">
        <v>60</v>
      </c>
    </row>
    <row r="66" spans="1:7" x14ac:dyDescent="0.35">
      <c r="A66">
        <v>25</v>
      </c>
      <c r="B66">
        <f t="shared" ref="B66:B100" si="2">0.028-0.00045*A66</f>
        <v>1.6750000000000001E-2</v>
      </c>
      <c r="D66" t="s">
        <v>0</v>
      </c>
      <c r="E66" s="3" t="s">
        <v>0</v>
      </c>
      <c r="F66" s="3"/>
    </row>
    <row r="67" spans="1:7" x14ac:dyDescent="0.35">
      <c r="A67" s="1">
        <v>79.8</v>
      </c>
      <c r="B67">
        <v>0</v>
      </c>
      <c r="C67">
        <f>B68-B67</f>
        <v>1.6750000000000001E-2</v>
      </c>
      <c r="D67">
        <f>C67*400*44590-4.2*18*23*400*C67</f>
        <v>287103.03999999998</v>
      </c>
      <c r="E67" s="3">
        <f>D67/(77.4)</f>
        <v>3709.341602067183</v>
      </c>
      <c r="F67" s="3">
        <v>50</v>
      </c>
    </row>
    <row r="68" spans="1:7" x14ac:dyDescent="0.35">
      <c r="A68">
        <v>25</v>
      </c>
      <c r="B68">
        <f t="shared" si="2"/>
        <v>1.6750000000000001E-2</v>
      </c>
      <c r="D68" t="s">
        <v>0</v>
      </c>
      <c r="E68" s="3" t="s">
        <v>0</v>
      </c>
      <c r="F68" s="3"/>
    </row>
    <row r="69" spans="1:7" x14ac:dyDescent="0.35">
      <c r="A69" s="1">
        <v>79.8</v>
      </c>
      <c r="B69">
        <v>0</v>
      </c>
      <c r="C69">
        <f>B70-B69</f>
        <v>1.6750000000000001E-2</v>
      </c>
      <c r="D69">
        <f>C69*200*44590-4.2*18*23*200*C69</f>
        <v>143551.51999999999</v>
      </c>
      <c r="E69" s="3">
        <f>D69/(52)</f>
        <v>2760.6061538461536</v>
      </c>
      <c r="F69" s="3">
        <v>25</v>
      </c>
    </row>
    <row r="70" spans="1:7" x14ac:dyDescent="0.35">
      <c r="A70">
        <v>25</v>
      </c>
      <c r="B70">
        <f t="shared" si="2"/>
        <v>1.6750000000000001E-2</v>
      </c>
      <c r="D70" t="s">
        <v>0</v>
      </c>
      <c r="E70" s="3" t="s">
        <v>0</v>
      </c>
      <c r="F70" s="3"/>
    </row>
    <row r="71" spans="1:7" x14ac:dyDescent="0.35">
      <c r="A71" s="1">
        <v>79.8</v>
      </c>
      <c r="B71">
        <v>0</v>
      </c>
      <c r="C71">
        <f>B72-B71</f>
        <v>1.6750000000000001E-2</v>
      </c>
      <c r="D71">
        <f>C71*160*44590-4.2*18*23*160*C71</f>
        <v>114841.21600000001</v>
      </c>
      <c r="E71" s="3">
        <f>D71/(47.8)</f>
        <v>2402.5358995815905</v>
      </c>
      <c r="F71" s="3">
        <v>20</v>
      </c>
    </row>
    <row r="72" spans="1:7" x14ac:dyDescent="0.35">
      <c r="A72">
        <v>25</v>
      </c>
      <c r="B72">
        <f t="shared" si="2"/>
        <v>1.6750000000000001E-2</v>
      </c>
      <c r="D72" t="s">
        <v>0</v>
      </c>
      <c r="E72" s="3" t="s">
        <v>0</v>
      </c>
      <c r="F72" s="3"/>
    </row>
    <row r="73" spans="1:7" x14ac:dyDescent="0.35">
      <c r="A73" s="1">
        <v>79.8</v>
      </c>
      <c r="B73">
        <v>0</v>
      </c>
      <c r="C73">
        <f>B74-B73</f>
        <v>1.6750000000000001E-2</v>
      </c>
      <c r="D73">
        <f>C73*240*44590-4.2*18*23*240*C73</f>
        <v>172261.82400000002</v>
      </c>
      <c r="E73" s="3">
        <f>D73/(56.3)</f>
        <v>3059.7126820603912</v>
      </c>
      <c r="F73" s="3">
        <v>30</v>
      </c>
    </row>
    <row r="74" spans="1:7" x14ac:dyDescent="0.35">
      <c r="A74">
        <v>25</v>
      </c>
      <c r="B74">
        <f t="shared" si="2"/>
        <v>1.6750000000000001E-2</v>
      </c>
      <c r="D74" t="s">
        <v>0</v>
      </c>
      <c r="E74" s="3" t="s">
        <v>0</v>
      </c>
      <c r="F74" s="3"/>
    </row>
    <row r="75" spans="1:7" x14ac:dyDescent="0.35">
      <c r="B75" t="s">
        <v>0</v>
      </c>
      <c r="E75" s="3"/>
      <c r="F75" s="3"/>
    </row>
    <row r="76" spans="1:7" x14ac:dyDescent="0.35">
      <c r="B76" t="s">
        <v>0</v>
      </c>
      <c r="E76" s="3"/>
      <c r="F76" s="3"/>
    </row>
    <row r="77" spans="1:7" x14ac:dyDescent="0.35">
      <c r="B77" t="s">
        <v>0</v>
      </c>
      <c r="E77" s="3"/>
      <c r="F77" s="3"/>
      <c r="G77" t="s">
        <v>25</v>
      </c>
    </row>
    <row r="78" spans="1:7" x14ac:dyDescent="0.35">
      <c r="B78" t="s">
        <v>0</v>
      </c>
      <c r="E78" s="3"/>
      <c r="F78" s="3"/>
    </row>
    <row r="79" spans="1:7" x14ac:dyDescent="0.35">
      <c r="A79" s="1">
        <v>124.3</v>
      </c>
      <c r="B79">
        <v>0</v>
      </c>
      <c r="C79">
        <f>B80-B79</f>
        <v>1.6750000000000001E-2</v>
      </c>
      <c r="D79">
        <f>C79*3200*44590-4.2*18*23*3200*C79</f>
        <v>2296824.3199999998</v>
      </c>
      <c r="E79" s="3">
        <f>D79/(1204)</f>
        <v>1907.661395348837</v>
      </c>
      <c r="F79" s="3" t="s">
        <v>8</v>
      </c>
    </row>
    <row r="80" spans="1:7" x14ac:dyDescent="0.35">
      <c r="A80" s="1">
        <v>25</v>
      </c>
      <c r="B80">
        <f t="shared" si="2"/>
        <v>1.6750000000000001E-2</v>
      </c>
      <c r="C80" t="s">
        <v>0</v>
      </c>
      <c r="D80" t="s">
        <v>0</v>
      </c>
      <c r="E80" s="3" t="s">
        <v>0</v>
      </c>
      <c r="F80" s="3"/>
    </row>
    <row r="81" spans="1:12" x14ac:dyDescent="0.35">
      <c r="A81" s="1">
        <v>124.3</v>
      </c>
      <c r="B81">
        <v>0</v>
      </c>
      <c r="C81">
        <f t="shared" ref="C81:C99" si="3">B82-B81</f>
        <v>1.6750000000000001E-2</v>
      </c>
      <c r="D81">
        <f>C81*2400*44590-4.2*18*23*2400*C81</f>
        <v>1722618.2400000002</v>
      </c>
      <c r="E81" s="3">
        <f>D81/(728)</f>
        <v>2366.2338461538466</v>
      </c>
      <c r="F81" s="3">
        <v>300</v>
      </c>
    </row>
    <row r="82" spans="1:12" x14ac:dyDescent="0.35">
      <c r="A82" s="1">
        <v>25</v>
      </c>
      <c r="B82">
        <f t="shared" si="2"/>
        <v>1.6750000000000001E-2</v>
      </c>
      <c r="C82" t="s">
        <v>0</v>
      </c>
      <c r="D82" t="s">
        <v>0</v>
      </c>
      <c r="E82" s="3" t="s">
        <v>0</v>
      </c>
      <c r="F82" s="3"/>
      <c r="L82" s="1"/>
    </row>
    <row r="83" spans="1:12" x14ac:dyDescent="0.35">
      <c r="A83" s="1">
        <v>124.3</v>
      </c>
      <c r="B83">
        <v>0</v>
      </c>
      <c r="C83">
        <f t="shared" si="3"/>
        <v>1.6750000000000001E-2</v>
      </c>
      <c r="D83">
        <f>C83*1600*44590-4.2*18*23*1600*C83</f>
        <v>1148412.1599999999</v>
      </c>
      <c r="E83" s="3">
        <f>D83/(365.8)</f>
        <v>3139.4536905412792</v>
      </c>
      <c r="F83" s="3">
        <v>200</v>
      </c>
      <c r="L83" s="1"/>
    </row>
    <row r="84" spans="1:12" x14ac:dyDescent="0.35">
      <c r="A84" s="1">
        <v>25</v>
      </c>
      <c r="B84">
        <f t="shared" si="2"/>
        <v>1.6750000000000001E-2</v>
      </c>
      <c r="C84" t="s">
        <v>0</v>
      </c>
      <c r="D84" t="s">
        <v>0</v>
      </c>
      <c r="E84" s="3" t="s">
        <v>0</v>
      </c>
      <c r="F84" s="3"/>
      <c r="L84" s="1"/>
    </row>
    <row r="85" spans="1:12" x14ac:dyDescent="0.35">
      <c r="A85" s="1">
        <v>124.3</v>
      </c>
      <c r="B85">
        <v>0</v>
      </c>
      <c r="C85">
        <f t="shared" si="3"/>
        <v>1.6750000000000001E-2</v>
      </c>
      <c r="D85">
        <f>C85*1200*44590-4.2*18*23*1200*C85</f>
        <v>861309.12000000011</v>
      </c>
      <c r="E85" s="3">
        <f>D85/(233.6)</f>
        <v>3687.1109589041102</v>
      </c>
      <c r="F85" s="3">
        <v>150</v>
      </c>
      <c r="L85" s="2"/>
    </row>
    <row r="86" spans="1:12" x14ac:dyDescent="0.35">
      <c r="A86" s="1">
        <v>25</v>
      </c>
      <c r="B86">
        <f t="shared" si="2"/>
        <v>1.6750000000000001E-2</v>
      </c>
      <c r="C86" t="s">
        <v>0</v>
      </c>
      <c r="D86" t="s">
        <v>0</v>
      </c>
      <c r="E86" s="3" t="s">
        <v>0</v>
      </c>
      <c r="F86" s="3"/>
      <c r="L86" s="1"/>
    </row>
    <row r="87" spans="1:12" x14ac:dyDescent="0.35">
      <c r="A87" s="1">
        <v>124.3</v>
      </c>
      <c r="B87">
        <v>0</v>
      </c>
      <c r="C87">
        <f t="shared" si="3"/>
        <v>1.6750000000000001E-2</v>
      </c>
      <c r="D87">
        <f>C87*800*44590-4.2*18*23*800*C87</f>
        <v>574206.07999999996</v>
      </c>
      <c r="E87" s="3">
        <f>D87/(129.6)</f>
        <v>4430.6024691358025</v>
      </c>
      <c r="F87" s="3">
        <v>100</v>
      </c>
      <c r="L87" s="2"/>
    </row>
    <row r="88" spans="1:12" x14ac:dyDescent="0.35">
      <c r="A88" s="1">
        <v>25</v>
      </c>
      <c r="B88">
        <f t="shared" si="2"/>
        <v>1.6750000000000001E-2</v>
      </c>
      <c r="C88" t="s">
        <v>0</v>
      </c>
      <c r="D88" t="s">
        <v>0</v>
      </c>
      <c r="E88" s="3" t="s">
        <v>0</v>
      </c>
      <c r="F88" s="3"/>
      <c r="L88" s="1"/>
    </row>
    <row r="89" spans="1:12" x14ac:dyDescent="0.35">
      <c r="A89" s="1">
        <v>124.3</v>
      </c>
      <c r="B89">
        <v>0</v>
      </c>
      <c r="C89">
        <f t="shared" si="3"/>
        <v>1.6750000000000001E-2</v>
      </c>
      <c r="D89">
        <f>C89*600*44590-4.2*18*23*600*C89</f>
        <v>430654.56000000006</v>
      </c>
      <c r="E89" s="3">
        <f>D89/(91.8)</f>
        <v>4691.2261437908501</v>
      </c>
      <c r="F89" s="3">
        <v>75</v>
      </c>
      <c r="L89" s="2"/>
    </row>
    <row r="90" spans="1:12" x14ac:dyDescent="0.35">
      <c r="A90" s="1">
        <v>25</v>
      </c>
      <c r="B90">
        <f t="shared" si="2"/>
        <v>1.6750000000000001E-2</v>
      </c>
      <c r="C90" t="s">
        <v>0</v>
      </c>
      <c r="D90" t="s">
        <v>0</v>
      </c>
      <c r="E90" s="3" t="s">
        <v>0</v>
      </c>
      <c r="F90" s="3"/>
      <c r="L90" s="1"/>
    </row>
    <row r="91" spans="1:12" x14ac:dyDescent="0.35">
      <c r="A91" s="1">
        <v>124.3</v>
      </c>
      <c r="B91">
        <v>0</v>
      </c>
      <c r="C91">
        <f t="shared" si="3"/>
        <v>1.6750000000000001E-2</v>
      </c>
      <c r="D91">
        <f>C91*480*44590-4.2*18*23*480*C91</f>
        <v>344523.64800000004</v>
      </c>
      <c r="E91" s="3">
        <f>D91/(72.7)</f>
        <v>4738.9772764786803</v>
      </c>
      <c r="F91" s="3">
        <v>60</v>
      </c>
      <c r="L91" s="2"/>
    </row>
    <row r="92" spans="1:12" x14ac:dyDescent="0.35">
      <c r="A92" s="1">
        <v>25</v>
      </c>
      <c r="B92">
        <f t="shared" si="2"/>
        <v>1.6750000000000001E-2</v>
      </c>
      <c r="C92" t="s">
        <v>0</v>
      </c>
      <c r="D92" t="s">
        <v>0</v>
      </c>
      <c r="E92" s="3" t="s">
        <v>0</v>
      </c>
      <c r="F92" s="3"/>
      <c r="L92" s="1"/>
    </row>
    <row r="93" spans="1:12" x14ac:dyDescent="0.35">
      <c r="A93" s="1">
        <v>124.3</v>
      </c>
      <c r="B93">
        <v>0</v>
      </c>
      <c r="C93">
        <f t="shared" si="3"/>
        <v>1.6750000000000001E-2</v>
      </c>
      <c r="D93">
        <f>C93*400*44590-4.2*18*23*400*C93</f>
        <v>287103.03999999998</v>
      </c>
      <c r="E93" s="3">
        <f>D93/(61.9)</f>
        <v>4638.1751211631663</v>
      </c>
      <c r="F93" s="3">
        <v>50</v>
      </c>
      <c r="L93" s="2"/>
    </row>
    <row r="94" spans="1:12" x14ac:dyDescent="0.35">
      <c r="A94" s="1">
        <v>25</v>
      </c>
      <c r="B94">
        <f t="shared" si="2"/>
        <v>1.6750000000000001E-2</v>
      </c>
      <c r="C94" t="s">
        <v>0</v>
      </c>
      <c r="D94" t="s">
        <v>0</v>
      </c>
      <c r="E94" s="3" t="s">
        <v>0</v>
      </c>
      <c r="F94" s="3"/>
      <c r="L94" s="1"/>
    </row>
    <row r="95" spans="1:12" x14ac:dyDescent="0.35">
      <c r="A95" s="1">
        <v>124.3</v>
      </c>
      <c r="B95">
        <v>0</v>
      </c>
      <c r="C95">
        <f t="shared" si="3"/>
        <v>1.6750000000000001E-2</v>
      </c>
      <c r="D95">
        <f>C95*200*44590-4.2*18*23*200*C95</f>
        <v>143551.51999999999</v>
      </c>
      <c r="E95" s="3">
        <f>D95/(40.1)</f>
        <v>3579.8384039900247</v>
      </c>
      <c r="F95" s="3">
        <v>25</v>
      </c>
    </row>
    <row r="96" spans="1:12" x14ac:dyDescent="0.35">
      <c r="A96" s="1">
        <v>25</v>
      </c>
      <c r="B96">
        <f t="shared" si="2"/>
        <v>1.6750000000000001E-2</v>
      </c>
      <c r="C96" t="s">
        <v>0</v>
      </c>
      <c r="D96" t="s">
        <v>0</v>
      </c>
      <c r="E96" s="3" t="s">
        <v>0</v>
      </c>
      <c r="F96" s="3"/>
      <c r="L96" s="1"/>
    </row>
    <row r="97" spans="1:12" x14ac:dyDescent="0.35">
      <c r="A97" s="1">
        <v>124.3</v>
      </c>
      <c r="B97">
        <v>0</v>
      </c>
      <c r="C97">
        <f t="shared" si="3"/>
        <v>1.6750000000000001E-2</v>
      </c>
      <c r="D97">
        <f>C97*160*44590-4.2*18*23*160*C97</f>
        <v>114841.21600000001</v>
      </c>
      <c r="E97" s="3">
        <f>D97/37</f>
        <v>3103.8166486486489</v>
      </c>
      <c r="F97" s="3">
        <v>20</v>
      </c>
    </row>
    <row r="98" spans="1:12" x14ac:dyDescent="0.35">
      <c r="A98" s="1">
        <v>25</v>
      </c>
      <c r="B98">
        <f t="shared" si="2"/>
        <v>1.6750000000000001E-2</v>
      </c>
      <c r="C98" t="s">
        <v>0</v>
      </c>
      <c r="D98" t="s">
        <v>0</v>
      </c>
      <c r="E98" s="3" t="s">
        <v>0</v>
      </c>
      <c r="F98" s="3"/>
      <c r="L98" s="1"/>
    </row>
    <row r="99" spans="1:12" x14ac:dyDescent="0.35">
      <c r="A99" s="1">
        <v>124.3</v>
      </c>
      <c r="B99">
        <v>0</v>
      </c>
      <c r="C99">
        <f t="shared" si="3"/>
        <v>1.6750000000000001E-2</v>
      </c>
      <c r="D99">
        <f>C99*240*44590-4.2*18*23*240*C99</f>
        <v>172261.82400000002</v>
      </c>
      <c r="E99" s="3">
        <f>D99/(43.7)</f>
        <v>3941.9181693363848</v>
      </c>
      <c r="F99" s="3">
        <v>30</v>
      </c>
    </row>
    <row r="100" spans="1:12" x14ac:dyDescent="0.35">
      <c r="A100" s="1">
        <v>25</v>
      </c>
      <c r="B100">
        <f t="shared" si="2"/>
        <v>1.6750000000000001E-2</v>
      </c>
      <c r="D100" t="s">
        <v>0</v>
      </c>
      <c r="E100" s="3" t="s">
        <v>0</v>
      </c>
      <c r="F100" s="3"/>
      <c r="L100" s="1"/>
    </row>
    <row r="101" spans="1:12" x14ac:dyDescent="0.35">
      <c r="E101" s="3"/>
      <c r="F101" s="3"/>
    </row>
    <row r="102" spans="1:12" x14ac:dyDescent="0.35">
      <c r="E102" s="3"/>
      <c r="F102" s="3"/>
      <c r="L102" s="1"/>
    </row>
    <row r="103" spans="1:12" x14ac:dyDescent="0.35">
      <c r="E103" s="3"/>
      <c r="F103" s="3"/>
    </row>
    <row r="104" spans="1:12" x14ac:dyDescent="0.35">
      <c r="E104" s="3"/>
      <c r="F104" s="3"/>
    </row>
    <row r="105" spans="1:12" x14ac:dyDescent="0.35">
      <c r="E105" s="3"/>
      <c r="F105" s="3"/>
    </row>
    <row r="106" spans="1:12" x14ac:dyDescent="0.35">
      <c r="A106" s="1">
        <v>124.3</v>
      </c>
      <c r="B106">
        <v>0</v>
      </c>
      <c r="C106">
        <f>B107-B106</f>
        <v>1.0000000000000009E-3</v>
      </c>
      <c r="D106">
        <f>C106*3200*44590-4.2*18*23*3200*C106</f>
        <v>137123.84000000011</v>
      </c>
      <c r="E106" s="3">
        <f>D106/(1294.4)</f>
        <v>105.93621755253407</v>
      </c>
      <c r="F106" s="3" t="s">
        <v>8</v>
      </c>
    </row>
    <row r="107" spans="1:12" x14ac:dyDescent="0.35">
      <c r="A107" s="1">
        <v>60</v>
      </c>
      <c r="B107">
        <f>0.028-0.00045*A107</f>
        <v>1.0000000000000009E-3</v>
      </c>
      <c r="C107" t="s">
        <v>0</v>
      </c>
      <c r="D107" t="s">
        <v>0</v>
      </c>
      <c r="E107" s="3" t="s">
        <v>0</v>
      </c>
      <c r="F107" s="3"/>
      <c r="H107" t="s">
        <v>20</v>
      </c>
    </row>
    <row r="108" spans="1:12" x14ac:dyDescent="0.35">
      <c r="A108" s="1">
        <v>124.3</v>
      </c>
      <c r="B108">
        <v>0</v>
      </c>
      <c r="C108">
        <f t="shared" ref="C108:C126" si="4">B109-B108</f>
        <v>1.0000000000000009E-3</v>
      </c>
      <c r="D108">
        <f>C108*2400*44590-4.2*18*23*2400*C108</f>
        <v>102842.88000000009</v>
      </c>
      <c r="E108" s="3">
        <f>D108/(829)</f>
        <v>124.05655006031374</v>
      </c>
      <c r="F108" s="3">
        <v>300</v>
      </c>
      <c r="H108" t="s">
        <v>21</v>
      </c>
    </row>
    <row r="109" spans="1:12" x14ac:dyDescent="0.35">
      <c r="A109" s="1">
        <v>60</v>
      </c>
      <c r="B109">
        <f>0.028-0.00045*A109</f>
        <v>1.0000000000000009E-3</v>
      </c>
      <c r="C109" t="s">
        <v>0</v>
      </c>
      <c r="D109" t="s">
        <v>0</v>
      </c>
      <c r="E109" s="3" t="s">
        <v>0</v>
      </c>
      <c r="F109" s="3"/>
    </row>
    <row r="110" spans="1:12" x14ac:dyDescent="0.35">
      <c r="A110" s="1">
        <v>124.3</v>
      </c>
      <c r="B110">
        <v>0</v>
      </c>
      <c r="C110">
        <f t="shared" si="4"/>
        <v>1.0000000000000009E-3</v>
      </c>
      <c r="D110">
        <f>C110*1600*44590-4.2*18*23*1600*C110</f>
        <v>68561.920000000056</v>
      </c>
      <c r="E110" s="3">
        <f>D110/(456)</f>
        <v>150.35508771929838</v>
      </c>
      <c r="F110" s="3">
        <v>200</v>
      </c>
    </row>
    <row r="111" spans="1:12" x14ac:dyDescent="0.35">
      <c r="A111" s="1">
        <v>60</v>
      </c>
      <c r="B111">
        <f>0.028-0.00045*A111</f>
        <v>1.0000000000000009E-3</v>
      </c>
      <c r="C111" t="s">
        <v>0</v>
      </c>
      <c r="D111" t="s">
        <v>0</v>
      </c>
      <c r="E111" s="3" t="s">
        <v>0</v>
      </c>
      <c r="F111" s="3"/>
    </row>
    <row r="112" spans="1:12" x14ac:dyDescent="0.35">
      <c r="A112" s="1">
        <v>124.3</v>
      </c>
      <c r="B112">
        <v>0</v>
      </c>
      <c r="C112">
        <f t="shared" si="4"/>
        <v>1.0000000000000009E-3</v>
      </c>
      <c r="D112">
        <f>C112*1200*44590-4.2*18*23*1200*C112</f>
        <v>51421.440000000046</v>
      </c>
      <c r="E112" s="3">
        <f>D112/(306.3)</f>
        <v>167.87933398628809</v>
      </c>
      <c r="F112" s="3">
        <v>150</v>
      </c>
    </row>
    <row r="113" spans="1:6" x14ac:dyDescent="0.35">
      <c r="A113" s="1">
        <v>60</v>
      </c>
      <c r="B113">
        <f>0.028-0.00045*A113</f>
        <v>1.0000000000000009E-3</v>
      </c>
      <c r="C113" t="s">
        <v>0</v>
      </c>
      <c r="D113" t="s">
        <v>0</v>
      </c>
      <c r="E113" s="3" t="s">
        <v>0</v>
      </c>
      <c r="F113" s="3"/>
    </row>
    <row r="114" spans="1:6" x14ac:dyDescent="0.35">
      <c r="A114" s="1">
        <v>124.3</v>
      </c>
      <c r="B114">
        <v>0</v>
      </c>
      <c r="C114">
        <f t="shared" si="4"/>
        <v>1.0000000000000009E-3</v>
      </c>
      <c r="D114">
        <f>C114*800*44590-4.2*18*23*800*C114</f>
        <v>34280.960000000028</v>
      </c>
      <c r="E114" s="3">
        <f>D114/(186.3)</f>
        <v>184.00944712828786</v>
      </c>
      <c r="F114" s="3">
        <v>100</v>
      </c>
    </row>
    <row r="115" spans="1:6" x14ac:dyDescent="0.35">
      <c r="A115" s="1">
        <v>60</v>
      </c>
      <c r="B115">
        <f>0.028-0.00045*A115</f>
        <v>1.0000000000000009E-3</v>
      </c>
      <c r="C115" t="s">
        <v>0</v>
      </c>
      <c r="D115" t="s">
        <v>0</v>
      </c>
      <c r="E115" s="3" t="s">
        <v>0</v>
      </c>
      <c r="F115" s="3"/>
    </row>
    <row r="116" spans="1:6" x14ac:dyDescent="0.35">
      <c r="A116" s="1">
        <v>124.3</v>
      </c>
      <c r="B116">
        <v>0</v>
      </c>
      <c r="C116">
        <f t="shared" si="4"/>
        <v>1.0000000000000009E-3</v>
      </c>
      <c r="D116">
        <f>C116*600*44590-4.2*18*23*600*C116</f>
        <v>25710.720000000023</v>
      </c>
      <c r="E116" s="3">
        <f>D116/(137.7)</f>
        <v>186.71546840958624</v>
      </c>
      <c r="F116" s="3">
        <v>75</v>
      </c>
    </row>
    <row r="117" spans="1:6" x14ac:dyDescent="0.35">
      <c r="A117" s="1">
        <v>60</v>
      </c>
      <c r="B117">
        <f>0.028-0.00045*A117</f>
        <v>1.0000000000000009E-3</v>
      </c>
      <c r="C117" t="s">
        <v>0</v>
      </c>
      <c r="D117" t="s">
        <v>0</v>
      </c>
      <c r="E117" s="3" t="s">
        <v>0</v>
      </c>
      <c r="F117" s="3"/>
    </row>
    <row r="118" spans="1:6" x14ac:dyDescent="0.35">
      <c r="A118" s="1">
        <v>124.3</v>
      </c>
      <c r="B118">
        <v>0</v>
      </c>
      <c r="C118">
        <f t="shared" si="4"/>
        <v>1.0000000000000009E-3</v>
      </c>
      <c r="D118">
        <f>C118*480*44590-4.2*18*23*480*C118</f>
        <v>20568.576000000019</v>
      </c>
      <c r="E118" s="3">
        <f>D118/(114.5)</f>
        <v>179.63821834061153</v>
      </c>
      <c r="F118" s="3">
        <v>60</v>
      </c>
    </row>
    <row r="119" spans="1:6" x14ac:dyDescent="0.35">
      <c r="A119" s="1">
        <v>60</v>
      </c>
      <c r="B119">
        <f>0.028-0.00045*A119</f>
        <v>1.0000000000000009E-3</v>
      </c>
      <c r="C119" t="s">
        <v>0</v>
      </c>
      <c r="D119" t="s">
        <v>0</v>
      </c>
      <c r="E119" s="3" t="s">
        <v>0</v>
      </c>
      <c r="F119" s="3"/>
    </row>
    <row r="120" spans="1:6" x14ac:dyDescent="0.35">
      <c r="A120" s="1">
        <v>124.3</v>
      </c>
      <c r="B120">
        <v>0</v>
      </c>
      <c r="C120">
        <f t="shared" si="4"/>
        <v>1.0000000000000009E-3</v>
      </c>
      <c r="D120">
        <f>C120*400*44590-4.2*18*23*400*C120</f>
        <v>17140.480000000014</v>
      </c>
      <c r="E120" s="3">
        <f>D120/(100.1)</f>
        <v>171.23356643356658</v>
      </c>
      <c r="F120" s="3">
        <v>50</v>
      </c>
    </row>
    <row r="121" spans="1:6" x14ac:dyDescent="0.35">
      <c r="A121" s="1">
        <v>60</v>
      </c>
      <c r="B121">
        <f>0.028-0.00045*A121</f>
        <v>1.0000000000000009E-3</v>
      </c>
      <c r="C121" t="s">
        <v>0</v>
      </c>
      <c r="D121" t="s">
        <v>0</v>
      </c>
      <c r="E121" s="3" t="s">
        <v>0</v>
      </c>
      <c r="F121" s="3"/>
    </row>
    <row r="122" spans="1:6" x14ac:dyDescent="0.35">
      <c r="A122" s="1">
        <v>124.3</v>
      </c>
      <c r="B122">
        <v>0</v>
      </c>
      <c r="C122">
        <f t="shared" si="4"/>
        <v>1.0000000000000009E-3</v>
      </c>
      <c r="D122">
        <f>C122*200*44590-4.2*18*23*200*C122</f>
        <v>8570.2400000000071</v>
      </c>
      <c r="E122" s="3">
        <f>D122/(71.2)</f>
        <v>120.36853932584279</v>
      </c>
      <c r="F122" s="3">
        <v>25</v>
      </c>
    </row>
    <row r="123" spans="1:6" x14ac:dyDescent="0.35">
      <c r="A123" s="1">
        <v>60</v>
      </c>
      <c r="B123">
        <f>0.028-0.00045*A123</f>
        <v>1.0000000000000009E-3</v>
      </c>
      <c r="C123" t="s">
        <v>0</v>
      </c>
      <c r="D123" t="s">
        <v>0</v>
      </c>
      <c r="E123" s="3" t="s">
        <v>0</v>
      </c>
      <c r="F123" s="3"/>
    </row>
    <row r="124" spans="1:6" x14ac:dyDescent="0.35">
      <c r="A124" s="1">
        <v>124.3</v>
      </c>
      <c r="B124">
        <v>0</v>
      </c>
      <c r="C124">
        <f t="shared" si="4"/>
        <v>1.0000000000000009E-3</v>
      </c>
      <c r="D124">
        <f>C124*160*44590-4.2*18*23*160*C124</f>
        <v>6856.1920000000055</v>
      </c>
      <c r="E124" s="3">
        <f>D124/(64)</f>
        <v>107.12800000000009</v>
      </c>
      <c r="F124" s="3">
        <v>20</v>
      </c>
    </row>
    <row r="125" spans="1:6" x14ac:dyDescent="0.35">
      <c r="A125" s="1">
        <v>60</v>
      </c>
      <c r="B125">
        <f>0.028-0.00045*A125</f>
        <v>1.0000000000000009E-3</v>
      </c>
      <c r="C125" t="s">
        <v>0</v>
      </c>
      <c r="D125" t="s">
        <v>0</v>
      </c>
      <c r="E125" s="3" t="s">
        <v>0</v>
      </c>
      <c r="F125" s="3"/>
    </row>
    <row r="126" spans="1:6" x14ac:dyDescent="0.35">
      <c r="A126" s="1">
        <v>124.3</v>
      </c>
      <c r="B126">
        <v>0</v>
      </c>
      <c r="C126">
        <f t="shared" si="4"/>
        <v>1.0000000000000009E-3</v>
      </c>
      <c r="D126">
        <f>C126*240*44590-4.2*18*23*240*C126</f>
        <v>10284.28800000001</v>
      </c>
      <c r="E126" s="3">
        <f>D126/(76.5)</f>
        <v>134.43513725490209</v>
      </c>
      <c r="F126" s="3">
        <v>30</v>
      </c>
    </row>
    <row r="127" spans="1:6" x14ac:dyDescent="0.35">
      <c r="A127" s="1">
        <v>60</v>
      </c>
      <c r="B127">
        <f>0.028-0.00045*A127</f>
        <v>1.0000000000000009E-3</v>
      </c>
      <c r="D127" t="s">
        <v>0</v>
      </c>
      <c r="E127" s="3" t="s">
        <v>0</v>
      </c>
      <c r="F127" s="3"/>
    </row>
    <row r="128" spans="1:6" x14ac:dyDescent="0.35">
      <c r="E128" s="3"/>
      <c r="F128" s="3"/>
    </row>
    <row r="129" spans="1:6" x14ac:dyDescent="0.35">
      <c r="E129" s="3"/>
      <c r="F129" s="3"/>
    </row>
    <row r="130" spans="1:6" x14ac:dyDescent="0.35">
      <c r="E130" s="3"/>
      <c r="F130" s="3"/>
    </row>
    <row r="131" spans="1:6" x14ac:dyDescent="0.35">
      <c r="E131" s="3"/>
      <c r="F131" s="3"/>
    </row>
    <row r="132" spans="1:6" x14ac:dyDescent="0.35">
      <c r="E132" s="3"/>
      <c r="F132" s="3"/>
    </row>
    <row r="133" spans="1:6" x14ac:dyDescent="0.35">
      <c r="E133" s="3"/>
      <c r="F133" s="3"/>
    </row>
    <row r="134" spans="1:6" x14ac:dyDescent="0.35">
      <c r="E134" s="3"/>
      <c r="F134" s="3"/>
    </row>
    <row r="135" spans="1:6" x14ac:dyDescent="0.35">
      <c r="E135" s="3"/>
      <c r="F135" s="3"/>
    </row>
    <row r="136" spans="1:6" x14ac:dyDescent="0.35">
      <c r="E136" s="3"/>
      <c r="F136" s="3"/>
    </row>
    <row r="137" spans="1:6" x14ac:dyDescent="0.35">
      <c r="E137" s="3"/>
      <c r="F137" s="3"/>
    </row>
    <row r="138" spans="1:6" x14ac:dyDescent="0.35">
      <c r="E138" s="3"/>
      <c r="F138" s="3"/>
    </row>
    <row r="139" spans="1:6" x14ac:dyDescent="0.35">
      <c r="E139" s="3"/>
      <c r="F139" s="3"/>
    </row>
    <row r="140" spans="1:6" x14ac:dyDescent="0.35">
      <c r="A140" s="2"/>
      <c r="E140" s="3"/>
      <c r="F140" s="3"/>
    </row>
    <row r="141" spans="1:6" x14ac:dyDescent="0.35">
      <c r="E141" s="3"/>
      <c r="F141" s="3"/>
    </row>
    <row r="142" spans="1:6" x14ac:dyDescent="0.35">
      <c r="E142" s="3"/>
      <c r="F142" s="3"/>
    </row>
    <row r="143" spans="1:6" x14ac:dyDescent="0.35">
      <c r="E143" s="3"/>
      <c r="F143" s="3"/>
    </row>
    <row r="144" spans="1:6" x14ac:dyDescent="0.35">
      <c r="E144" s="3"/>
      <c r="F144" s="3"/>
    </row>
    <row r="145" spans="5:6" x14ac:dyDescent="0.35">
      <c r="E145" s="3"/>
      <c r="F145" s="3"/>
    </row>
    <row r="146" spans="5:6" x14ac:dyDescent="0.35">
      <c r="E146" s="3"/>
      <c r="F146" s="3"/>
    </row>
    <row r="147" spans="5:6" x14ac:dyDescent="0.35">
      <c r="E147" s="3"/>
      <c r="F147" s="3"/>
    </row>
    <row r="148" spans="5:6" x14ac:dyDescent="0.35">
      <c r="E148" s="3"/>
      <c r="F148" s="3"/>
    </row>
    <row r="149" spans="5:6" x14ac:dyDescent="0.35">
      <c r="E149" s="3"/>
      <c r="F149" s="3"/>
    </row>
    <row r="150" spans="5:6" x14ac:dyDescent="0.35">
      <c r="E150" s="3"/>
      <c r="F150" s="3"/>
    </row>
    <row r="151" spans="5:6" x14ac:dyDescent="0.35">
      <c r="E151" s="3"/>
      <c r="F151" s="3"/>
    </row>
    <row r="152" spans="5:6" x14ac:dyDescent="0.35">
      <c r="E152" s="3"/>
      <c r="F152" s="3"/>
    </row>
    <row r="153" spans="5:6" x14ac:dyDescent="0.35">
      <c r="E153" s="3"/>
      <c r="F153" s="3"/>
    </row>
    <row r="154" spans="5:6" x14ac:dyDescent="0.35">
      <c r="E154" s="3"/>
      <c r="F154" s="3"/>
    </row>
    <row r="155" spans="5:6" x14ac:dyDescent="0.35">
      <c r="E155" s="3"/>
      <c r="F155" s="3"/>
    </row>
    <row r="156" spans="5:6" x14ac:dyDescent="0.35">
      <c r="E156" s="3"/>
      <c r="F156" s="3"/>
    </row>
    <row r="157" spans="5:6" x14ac:dyDescent="0.35">
      <c r="E157" s="3"/>
      <c r="F157" s="3"/>
    </row>
    <row r="158" spans="5:6" x14ac:dyDescent="0.35">
      <c r="E158" s="3"/>
      <c r="F158" s="3"/>
    </row>
    <row r="159" spans="5:6" x14ac:dyDescent="0.35">
      <c r="E159" s="3"/>
      <c r="F159" s="3"/>
    </row>
    <row r="160" spans="5:6" x14ac:dyDescent="0.35">
      <c r="E160" s="3"/>
      <c r="F160" s="3"/>
    </row>
    <row r="161" spans="5:6" x14ac:dyDescent="0.35">
      <c r="E161" s="3"/>
      <c r="F161" s="3"/>
    </row>
    <row r="162" spans="5:6" x14ac:dyDescent="0.35">
      <c r="E162" s="3"/>
      <c r="F162" s="3"/>
    </row>
    <row r="163" spans="5:6" x14ac:dyDescent="0.35">
      <c r="E163" s="3"/>
      <c r="F163" s="3"/>
    </row>
    <row r="164" spans="5:6" x14ac:dyDescent="0.35">
      <c r="E164" s="3"/>
      <c r="F164" s="3"/>
    </row>
    <row r="165" spans="5:6" x14ac:dyDescent="0.35">
      <c r="E165" s="3"/>
      <c r="F165" s="3"/>
    </row>
    <row r="166" spans="5:6" x14ac:dyDescent="0.35">
      <c r="E166" s="3"/>
      <c r="F166" s="3"/>
    </row>
    <row r="167" spans="5:6" x14ac:dyDescent="0.35">
      <c r="E167" s="3"/>
      <c r="F167" s="3"/>
    </row>
    <row r="168" spans="5:6" x14ac:dyDescent="0.35">
      <c r="E168" s="3"/>
      <c r="F168" s="3"/>
    </row>
    <row r="169" spans="5:6" x14ac:dyDescent="0.35">
      <c r="E169" s="3"/>
      <c r="F169" s="3"/>
    </row>
    <row r="170" spans="5:6" x14ac:dyDescent="0.35">
      <c r="E170" s="3"/>
      <c r="F170" s="3"/>
    </row>
    <row r="171" spans="5:6" x14ac:dyDescent="0.35">
      <c r="E171" s="3"/>
      <c r="F171" s="3"/>
    </row>
    <row r="172" spans="5:6" x14ac:dyDescent="0.35">
      <c r="E172" s="3"/>
      <c r="F172" s="3"/>
    </row>
    <row r="173" spans="5:6" x14ac:dyDescent="0.35">
      <c r="E173" s="3"/>
      <c r="F173" s="3"/>
    </row>
    <row r="174" spans="5:6" x14ac:dyDescent="0.35">
      <c r="E174" s="3"/>
      <c r="F174" s="3"/>
    </row>
    <row r="175" spans="5:6" x14ac:dyDescent="0.35">
      <c r="E175" s="3"/>
      <c r="F175" s="3"/>
    </row>
    <row r="176" spans="5:6" x14ac:dyDescent="0.35">
      <c r="E176" s="3"/>
      <c r="F176" s="3"/>
    </row>
    <row r="177" spans="1:6" x14ac:dyDescent="0.35">
      <c r="E177" s="3"/>
      <c r="F177" s="3"/>
    </row>
    <row r="178" spans="1:6" x14ac:dyDescent="0.35">
      <c r="E178" s="3"/>
      <c r="F178" s="3"/>
    </row>
    <row r="179" spans="1:6" x14ac:dyDescent="0.35">
      <c r="E179" s="3"/>
      <c r="F179" s="3"/>
    </row>
    <row r="180" spans="1:6" x14ac:dyDescent="0.35">
      <c r="E180" s="3"/>
      <c r="F180" s="3"/>
    </row>
    <row r="181" spans="1:6" x14ac:dyDescent="0.35">
      <c r="E181" s="3"/>
      <c r="F181" s="3"/>
    </row>
    <row r="182" spans="1:6" x14ac:dyDescent="0.35">
      <c r="E182" s="3"/>
      <c r="F182" s="3"/>
    </row>
    <row r="183" spans="1:6" x14ac:dyDescent="0.35">
      <c r="E183" s="3"/>
      <c r="F183" s="3"/>
    </row>
    <row r="184" spans="1:6" x14ac:dyDescent="0.35">
      <c r="E184" s="3"/>
      <c r="F184" s="3"/>
    </row>
    <row r="185" spans="1:6" x14ac:dyDescent="0.35">
      <c r="E185" s="3"/>
      <c r="F185" s="3"/>
    </row>
    <row r="186" spans="1:6" x14ac:dyDescent="0.35">
      <c r="E186" s="3"/>
      <c r="F186" s="3"/>
    </row>
    <row r="187" spans="1:6" x14ac:dyDescent="0.35">
      <c r="E187" s="3"/>
      <c r="F187" s="3"/>
    </row>
    <row r="188" spans="1:6" x14ac:dyDescent="0.35">
      <c r="E188" s="3"/>
      <c r="F188" s="3"/>
    </row>
    <row r="189" spans="1:6" x14ac:dyDescent="0.35">
      <c r="A189" s="2"/>
      <c r="E189" s="3"/>
      <c r="F189" s="3"/>
    </row>
    <row r="190" spans="1:6" x14ac:dyDescent="0.35">
      <c r="E190" s="3"/>
      <c r="F190" s="3"/>
    </row>
    <row r="191" spans="1:6" x14ac:dyDescent="0.35">
      <c r="E191" s="3"/>
      <c r="F191" s="3"/>
    </row>
    <row r="192" spans="1:6" x14ac:dyDescent="0.35">
      <c r="E192" s="3"/>
      <c r="F192" s="3"/>
    </row>
    <row r="193" spans="5:6" x14ac:dyDescent="0.35">
      <c r="E193" s="3"/>
      <c r="F193" s="3"/>
    </row>
    <row r="194" spans="5:6" x14ac:dyDescent="0.35">
      <c r="E194" s="3"/>
      <c r="F194" s="3"/>
    </row>
    <row r="195" spans="5:6" x14ac:dyDescent="0.35">
      <c r="E195" s="3"/>
      <c r="F195" s="3"/>
    </row>
    <row r="196" spans="5:6" x14ac:dyDescent="0.35">
      <c r="E196" s="3"/>
      <c r="F196" s="3"/>
    </row>
    <row r="197" spans="5:6" x14ac:dyDescent="0.35">
      <c r="E197" s="3"/>
      <c r="F197" s="3"/>
    </row>
    <row r="198" spans="5:6" x14ac:dyDescent="0.35">
      <c r="E198" s="3"/>
      <c r="F198" s="3"/>
    </row>
    <row r="199" spans="5:6" x14ac:dyDescent="0.35">
      <c r="E199" s="3"/>
      <c r="F199" s="3"/>
    </row>
    <row r="200" spans="5:6" x14ac:dyDescent="0.35">
      <c r="E200" s="3"/>
      <c r="F200" s="3"/>
    </row>
    <row r="201" spans="5:6" x14ac:dyDescent="0.35">
      <c r="E201" s="3"/>
      <c r="F201" s="3"/>
    </row>
    <row r="202" spans="5:6" x14ac:dyDescent="0.35">
      <c r="E202" s="3"/>
      <c r="F202" s="3"/>
    </row>
    <row r="203" spans="5:6" x14ac:dyDescent="0.35">
      <c r="E203" s="3"/>
      <c r="F203" s="3"/>
    </row>
    <row r="204" spans="5:6" x14ac:dyDescent="0.35">
      <c r="E204" s="3"/>
      <c r="F204" s="3"/>
    </row>
    <row r="205" spans="5:6" x14ac:dyDescent="0.35">
      <c r="E205" s="3"/>
      <c r="F205" s="3"/>
    </row>
    <row r="206" spans="5:6" x14ac:dyDescent="0.35">
      <c r="E206" s="3"/>
      <c r="F206" s="3"/>
    </row>
    <row r="207" spans="5:6" x14ac:dyDescent="0.35">
      <c r="E207" s="3"/>
      <c r="F207" s="3"/>
    </row>
    <row r="208" spans="5:6" x14ac:dyDescent="0.35">
      <c r="E208" s="3"/>
      <c r="F208" s="3"/>
    </row>
    <row r="209" spans="5:6" x14ac:dyDescent="0.35">
      <c r="E209" s="3"/>
      <c r="F209" s="3"/>
    </row>
    <row r="210" spans="5:6" x14ac:dyDescent="0.35">
      <c r="E210" s="3"/>
      <c r="F210" s="3"/>
    </row>
    <row r="211" spans="5:6" x14ac:dyDescent="0.35">
      <c r="E211" s="3"/>
      <c r="F211" s="3"/>
    </row>
    <row r="212" spans="5:6" x14ac:dyDescent="0.35">
      <c r="E212" s="3"/>
      <c r="F212" s="3"/>
    </row>
    <row r="213" spans="5:6" x14ac:dyDescent="0.35">
      <c r="E213" s="3"/>
      <c r="F213" s="3"/>
    </row>
    <row r="214" spans="5:6" x14ac:dyDescent="0.35">
      <c r="E214" s="3"/>
      <c r="F214" s="3"/>
    </row>
    <row r="215" spans="5:6" x14ac:dyDescent="0.35">
      <c r="E215" s="3"/>
      <c r="F215" s="3"/>
    </row>
    <row r="216" spans="5:6" x14ac:dyDescent="0.35">
      <c r="E216" s="3"/>
      <c r="F216" s="3"/>
    </row>
    <row r="217" spans="5:6" x14ac:dyDescent="0.35">
      <c r="E217" s="3"/>
      <c r="F217" s="3"/>
    </row>
    <row r="218" spans="5:6" x14ac:dyDescent="0.35">
      <c r="E218" s="3"/>
      <c r="F218" s="3"/>
    </row>
    <row r="219" spans="5:6" x14ac:dyDescent="0.35">
      <c r="E219" s="3"/>
      <c r="F219" s="3"/>
    </row>
    <row r="220" spans="5:6" x14ac:dyDescent="0.35">
      <c r="E220" s="3"/>
      <c r="F220" s="3"/>
    </row>
    <row r="221" spans="5:6" x14ac:dyDescent="0.35">
      <c r="E221" s="3"/>
      <c r="F221" s="3"/>
    </row>
    <row r="222" spans="5:6" x14ac:dyDescent="0.35">
      <c r="E222" s="3"/>
      <c r="F222" s="3"/>
    </row>
    <row r="223" spans="5:6" x14ac:dyDescent="0.35">
      <c r="E223" s="3"/>
      <c r="F223" s="3"/>
    </row>
    <row r="224" spans="5:6" x14ac:dyDescent="0.35">
      <c r="E224" s="3"/>
      <c r="F224" s="3"/>
    </row>
    <row r="225" spans="5:6" x14ac:dyDescent="0.35">
      <c r="E225" s="3"/>
      <c r="F225" s="3"/>
    </row>
    <row r="226" spans="5:6" x14ac:dyDescent="0.35">
      <c r="E226" s="3"/>
      <c r="F226" s="3"/>
    </row>
    <row r="227" spans="5:6" x14ac:dyDescent="0.35">
      <c r="E227" s="3"/>
      <c r="F227" s="3"/>
    </row>
    <row r="228" spans="5:6" x14ac:dyDescent="0.35">
      <c r="E228" s="3"/>
      <c r="F228" s="3"/>
    </row>
    <row r="229" spans="5:6" x14ac:dyDescent="0.35">
      <c r="E229" s="3"/>
      <c r="F229" s="3"/>
    </row>
    <row r="230" spans="5:6" x14ac:dyDescent="0.35">
      <c r="E230" s="3"/>
      <c r="F230" s="3"/>
    </row>
    <row r="231" spans="5:6" x14ac:dyDescent="0.35">
      <c r="E231" s="3"/>
      <c r="F231" s="3"/>
    </row>
    <row r="232" spans="5:6" x14ac:dyDescent="0.35">
      <c r="E232" s="3"/>
      <c r="F232" s="3"/>
    </row>
    <row r="233" spans="5:6" x14ac:dyDescent="0.35">
      <c r="E233" s="3"/>
      <c r="F233" s="3"/>
    </row>
    <row r="234" spans="5:6" x14ac:dyDescent="0.35">
      <c r="E234" s="3"/>
      <c r="F234" s="3"/>
    </row>
    <row r="235" spans="5:6" x14ac:dyDescent="0.35">
      <c r="E235" s="3"/>
      <c r="F235" s="3"/>
    </row>
    <row r="236" spans="5:6" x14ac:dyDescent="0.35">
      <c r="E236" s="3"/>
      <c r="F236" s="3"/>
    </row>
    <row r="237" spans="5:6" x14ac:dyDescent="0.35">
      <c r="E237" s="3"/>
      <c r="F237" s="3"/>
    </row>
    <row r="238" spans="5:6" x14ac:dyDescent="0.35">
      <c r="E238" s="3"/>
      <c r="F238" s="3"/>
    </row>
    <row r="239" spans="5:6" x14ac:dyDescent="0.35">
      <c r="E239" s="3"/>
      <c r="F239" s="3"/>
    </row>
    <row r="240" spans="5:6" x14ac:dyDescent="0.35">
      <c r="E240" s="3"/>
      <c r="F240" s="3"/>
    </row>
    <row r="241" spans="5:6" x14ac:dyDescent="0.35">
      <c r="E241" s="3"/>
      <c r="F241" s="3"/>
    </row>
    <row r="242" spans="5:6" x14ac:dyDescent="0.35">
      <c r="E242" s="3"/>
      <c r="F242" s="3"/>
    </row>
    <row r="243" spans="5:6" x14ac:dyDescent="0.35">
      <c r="E243" s="3"/>
      <c r="F243" s="3"/>
    </row>
    <row r="244" spans="5:6" x14ac:dyDescent="0.35">
      <c r="E244" s="3"/>
      <c r="F244" s="3"/>
    </row>
    <row r="245" spans="5:6" x14ac:dyDescent="0.35">
      <c r="E245" s="3"/>
      <c r="F245" s="3"/>
    </row>
    <row r="246" spans="5:6" x14ac:dyDescent="0.35">
      <c r="E246" s="3"/>
      <c r="F246" s="3"/>
    </row>
    <row r="247" spans="5:6" x14ac:dyDescent="0.35">
      <c r="E247" s="3"/>
      <c r="F247" s="3"/>
    </row>
    <row r="248" spans="5:6" x14ac:dyDescent="0.35">
      <c r="E248" s="3"/>
      <c r="F248" s="3"/>
    </row>
    <row r="249" spans="5:6" x14ac:dyDescent="0.35">
      <c r="E249" s="3"/>
      <c r="F249" s="3"/>
    </row>
    <row r="250" spans="5:6" x14ac:dyDescent="0.35">
      <c r="E250" s="3"/>
      <c r="F250" s="3"/>
    </row>
    <row r="251" spans="5:6" x14ac:dyDescent="0.35">
      <c r="E251" s="3"/>
      <c r="F251" s="3"/>
    </row>
    <row r="252" spans="5:6" x14ac:dyDescent="0.35">
      <c r="E252" s="3"/>
      <c r="F252" s="3"/>
    </row>
    <row r="253" spans="5:6" x14ac:dyDescent="0.35">
      <c r="E253" s="3"/>
      <c r="F253" s="3"/>
    </row>
    <row r="254" spans="5:6" x14ac:dyDescent="0.35">
      <c r="E254" s="3"/>
      <c r="F254" s="3"/>
    </row>
    <row r="255" spans="5:6" x14ac:dyDescent="0.35">
      <c r="E255" s="3"/>
      <c r="F255" s="3"/>
    </row>
    <row r="256" spans="5:6" x14ac:dyDescent="0.35">
      <c r="E256" s="3"/>
      <c r="F256" s="3"/>
    </row>
    <row r="257" spans="5:6" x14ac:dyDescent="0.35">
      <c r="E257" s="3"/>
      <c r="F257" s="3"/>
    </row>
    <row r="258" spans="5:6" x14ac:dyDescent="0.35">
      <c r="E258" s="3"/>
      <c r="F258" s="3"/>
    </row>
    <row r="259" spans="5:6" x14ac:dyDescent="0.35">
      <c r="E259" s="3"/>
      <c r="F259" s="3"/>
    </row>
    <row r="260" spans="5:6" x14ac:dyDescent="0.35">
      <c r="E260" s="3"/>
      <c r="F260" s="3"/>
    </row>
    <row r="261" spans="5:6" x14ac:dyDescent="0.35">
      <c r="E261" s="3"/>
      <c r="F261" s="3"/>
    </row>
    <row r="262" spans="5:6" x14ac:dyDescent="0.35">
      <c r="E262" s="3"/>
      <c r="F262" s="3"/>
    </row>
    <row r="263" spans="5:6" x14ac:dyDescent="0.35">
      <c r="E263" s="3"/>
      <c r="F263" s="3"/>
    </row>
    <row r="264" spans="5:6" x14ac:dyDescent="0.35">
      <c r="E264" s="3"/>
      <c r="F264" s="3"/>
    </row>
    <row r="265" spans="5:6" x14ac:dyDescent="0.35">
      <c r="E265" s="3"/>
      <c r="F265" s="3"/>
    </row>
    <row r="266" spans="5:6" x14ac:dyDescent="0.35">
      <c r="E266" s="3"/>
      <c r="F266" s="3"/>
    </row>
    <row r="267" spans="5:6" x14ac:dyDescent="0.35">
      <c r="E267" s="3"/>
      <c r="F267" s="3"/>
    </row>
    <row r="268" spans="5:6" x14ac:dyDescent="0.35">
      <c r="E268" s="3"/>
      <c r="F268" s="3"/>
    </row>
    <row r="269" spans="5:6" x14ac:dyDescent="0.35">
      <c r="E269" s="3"/>
      <c r="F269" s="3"/>
    </row>
    <row r="270" spans="5:6" x14ac:dyDescent="0.35">
      <c r="E270" s="3"/>
      <c r="F270" s="3"/>
    </row>
    <row r="271" spans="5:6" x14ac:dyDescent="0.35">
      <c r="E271" s="3"/>
      <c r="F271" s="3"/>
    </row>
    <row r="272" spans="5:6" x14ac:dyDescent="0.35">
      <c r="E272" s="3"/>
      <c r="F272" s="3"/>
    </row>
    <row r="273" spans="5:6" x14ac:dyDescent="0.35">
      <c r="E273" s="3"/>
      <c r="F273" s="3"/>
    </row>
    <row r="274" spans="5:6" x14ac:dyDescent="0.35">
      <c r="E274" s="3"/>
      <c r="F274" s="3"/>
    </row>
    <row r="275" spans="5:6" x14ac:dyDescent="0.35">
      <c r="E275" s="3"/>
      <c r="F275" s="3"/>
    </row>
    <row r="276" spans="5:6" x14ac:dyDescent="0.35">
      <c r="E276" s="3"/>
      <c r="F276" s="3"/>
    </row>
    <row r="277" spans="5:6" x14ac:dyDescent="0.35">
      <c r="E277" s="3"/>
      <c r="F277" s="3"/>
    </row>
    <row r="278" spans="5:6" x14ac:dyDescent="0.35">
      <c r="E278" s="3"/>
      <c r="F278" s="3"/>
    </row>
    <row r="279" spans="5:6" x14ac:dyDescent="0.35">
      <c r="E279" s="3"/>
      <c r="F279" s="3"/>
    </row>
    <row r="280" spans="5:6" x14ac:dyDescent="0.35">
      <c r="E280" s="3"/>
      <c r="F280" s="3"/>
    </row>
    <row r="281" spans="5:6" x14ac:dyDescent="0.35">
      <c r="E281" s="3"/>
      <c r="F281" s="3"/>
    </row>
    <row r="282" spans="5:6" x14ac:dyDescent="0.35">
      <c r="E282" s="3"/>
      <c r="F282" s="3"/>
    </row>
    <row r="283" spans="5:6" x14ac:dyDescent="0.35">
      <c r="E283" s="3"/>
      <c r="F283" s="3"/>
    </row>
    <row r="284" spans="5:6" x14ac:dyDescent="0.35">
      <c r="E284" s="3"/>
      <c r="F284" s="3"/>
    </row>
    <row r="285" spans="5:6" x14ac:dyDescent="0.35">
      <c r="E285" s="3"/>
      <c r="F285" s="3"/>
    </row>
    <row r="286" spans="5:6" x14ac:dyDescent="0.35">
      <c r="E286" s="3"/>
      <c r="F286" s="3"/>
    </row>
    <row r="287" spans="5:6" x14ac:dyDescent="0.35">
      <c r="E287" s="3"/>
      <c r="F287" s="3"/>
    </row>
    <row r="288" spans="5:6" x14ac:dyDescent="0.35">
      <c r="E288" s="3"/>
      <c r="F288" s="3"/>
    </row>
    <row r="289" spans="5:6" x14ac:dyDescent="0.35">
      <c r="E289" s="3"/>
      <c r="F289" s="3"/>
    </row>
    <row r="290" spans="5:6" x14ac:dyDescent="0.35">
      <c r="E290" s="3"/>
      <c r="F290" s="3"/>
    </row>
    <row r="291" spans="5:6" x14ac:dyDescent="0.35">
      <c r="E291" s="3"/>
      <c r="F291" s="3"/>
    </row>
    <row r="292" spans="5:6" x14ac:dyDescent="0.35">
      <c r="E292" s="3"/>
      <c r="F292" s="3"/>
    </row>
    <row r="293" spans="5:6" x14ac:dyDescent="0.35">
      <c r="E293" s="3"/>
      <c r="F293" s="3"/>
    </row>
    <row r="294" spans="5:6" x14ac:dyDescent="0.35">
      <c r="E294" s="3"/>
      <c r="F294" s="3"/>
    </row>
    <row r="295" spans="5:6" x14ac:dyDescent="0.35">
      <c r="E295" s="3"/>
      <c r="F295" s="3"/>
    </row>
    <row r="296" spans="5:6" x14ac:dyDescent="0.35">
      <c r="E296" s="3"/>
      <c r="F296" s="3"/>
    </row>
    <row r="297" spans="5:6" x14ac:dyDescent="0.35">
      <c r="E297" s="3"/>
      <c r="F297" s="3"/>
    </row>
    <row r="298" spans="5:6" x14ac:dyDescent="0.35">
      <c r="E298" s="3"/>
      <c r="F298" s="3"/>
    </row>
    <row r="299" spans="5:6" x14ac:dyDescent="0.35">
      <c r="E299" s="3"/>
      <c r="F299" s="3"/>
    </row>
    <row r="300" spans="5:6" x14ac:dyDescent="0.35">
      <c r="E300" s="3"/>
      <c r="F300" s="3"/>
    </row>
    <row r="301" spans="5:6" x14ac:dyDescent="0.35">
      <c r="E301" s="3"/>
      <c r="F301" s="3"/>
    </row>
    <row r="302" spans="5:6" x14ac:dyDescent="0.35">
      <c r="E302" s="3"/>
      <c r="F302" s="3"/>
    </row>
    <row r="303" spans="5:6" x14ac:dyDescent="0.35">
      <c r="E303" s="3"/>
      <c r="F303" s="3"/>
    </row>
    <row r="304" spans="5:6" x14ac:dyDescent="0.35">
      <c r="E304" s="3"/>
      <c r="F304" s="3"/>
    </row>
    <row r="305" spans="5:6" x14ac:dyDescent="0.35">
      <c r="E305" s="3"/>
      <c r="F305" s="3"/>
    </row>
    <row r="306" spans="5:6" x14ac:dyDescent="0.35">
      <c r="E306" s="3"/>
      <c r="F306" s="3"/>
    </row>
    <row r="307" spans="5:6" x14ac:dyDescent="0.35">
      <c r="E307" s="3"/>
      <c r="F307" s="3"/>
    </row>
    <row r="308" spans="5:6" x14ac:dyDescent="0.35">
      <c r="E308" s="3"/>
      <c r="F308" s="3"/>
    </row>
    <row r="309" spans="5:6" x14ac:dyDescent="0.35">
      <c r="E309" s="3"/>
      <c r="F309" s="3"/>
    </row>
    <row r="310" spans="5:6" x14ac:dyDescent="0.35">
      <c r="E310" s="3"/>
      <c r="F310" s="3"/>
    </row>
    <row r="311" spans="5:6" x14ac:dyDescent="0.35">
      <c r="E311" s="3"/>
      <c r="F311" s="3"/>
    </row>
    <row r="312" spans="5:6" x14ac:dyDescent="0.35">
      <c r="E312" s="3"/>
      <c r="F312" s="3"/>
    </row>
    <row r="313" spans="5:6" x14ac:dyDescent="0.35">
      <c r="E313" s="3"/>
      <c r="F313" s="3"/>
    </row>
    <row r="314" spans="5:6" x14ac:dyDescent="0.35">
      <c r="E314" s="3"/>
      <c r="F314" s="3"/>
    </row>
    <row r="315" spans="5:6" x14ac:dyDescent="0.35">
      <c r="E315" s="3"/>
      <c r="F315" s="3"/>
    </row>
    <row r="316" spans="5:6" x14ac:dyDescent="0.35">
      <c r="E316" s="3"/>
      <c r="F316" s="3"/>
    </row>
    <row r="317" spans="5:6" x14ac:dyDescent="0.35">
      <c r="E317" s="3"/>
      <c r="F317" s="3"/>
    </row>
    <row r="318" spans="5:6" x14ac:dyDescent="0.35">
      <c r="E318" s="3"/>
      <c r="F318" s="3"/>
    </row>
    <row r="319" spans="5:6" x14ac:dyDescent="0.35">
      <c r="E319" s="3"/>
      <c r="F319" s="3"/>
    </row>
    <row r="320" spans="5:6" x14ac:dyDescent="0.35">
      <c r="E320" s="3"/>
      <c r="F320" s="3"/>
    </row>
    <row r="321" spans="5:6" x14ac:dyDescent="0.35">
      <c r="E321" s="3"/>
      <c r="F321" s="3"/>
    </row>
    <row r="322" spans="5:6" x14ac:dyDescent="0.35">
      <c r="E322" s="3"/>
      <c r="F322" s="3"/>
    </row>
    <row r="323" spans="5:6" x14ac:dyDescent="0.35">
      <c r="E323" s="3"/>
      <c r="F323" s="3"/>
    </row>
    <row r="324" spans="5:6" x14ac:dyDescent="0.35">
      <c r="E324" s="3"/>
      <c r="F324" s="3"/>
    </row>
    <row r="325" spans="5:6" x14ac:dyDescent="0.35">
      <c r="E325" s="3"/>
      <c r="F325" s="3"/>
    </row>
    <row r="326" spans="5:6" x14ac:dyDescent="0.35">
      <c r="E326" s="3"/>
      <c r="F326" s="3"/>
    </row>
    <row r="327" spans="5:6" x14ac:dyDescent="0.35">
      <c r="E327" s="3"/>
      <c r="F327" s="3"/>
    </row>
    <row r="328" spans="5:6" x14ac:dyDescent="0.35">
      <c r="E328" s="3"/>
      <c r="F328" s="3"/>
    </row>
    <row r="329" spans="5:6" x14ac:dyDescent="0.35">
      <c r="E329" s="3"/>
      <c r="F329" s="3"/>
    </row>
    <row r="330" spans="5:6" x14ac:dyDescent="0.35">
      <c r="E330" s="3"/>
      <c r="F330" s="3"/>
    </row>
    <row r="331" spans="5:6" x14ac:dyDescent="0.35">
      <c r="E331" s="3"/>
      <c r="F331" s="3"/>
    </row>
    <row r="332" spans="5:6" x14ac:dyDescent="0.35">
      <c r="E332" s="3"/>
      <c r="F332" s="3"/>
    </row>
    <row r="333" spans="5:6" x14ac:dyDescent="0.35">
      <c r="E333" s="3"/>
      <c r="F333" s="3"/>
    </row>
    <row r="334" spans="5:6" x14ac:dyDescent="0.35">
      <c r="E334" s="3"/>
      <c r="F334" s="3"/>
    </row>
    <row r="335" spans="5:6" x14ac:dyDescent="0.35">
      <c r="E335" s="3"/>
      <c r="F335" s="3"/>
    </row>
    <row r="336" spans="5:6" x14ac:dyDescent="0.35">
      <c r="E336" s="3"/>
      <c r="F336" s="3"/>
    </row>
    <row r="337" spans="5:6" x14ac:dyDescent="0.35">
      <c r="E337" s="3"/>
      <c r="F337" s="3"/>
    </row>
    <row r="338" spans="5:6" x14ac:dyDescent="0.35">
      <c r="E338" s="3"/>
      <c r="F338" s="3"/>
    </row>
    <row r="339" spans="5:6" x14ac:dyDescent="0.35">
      <c r="E339" s="3"/>
      <c r="F339" s="3"/>
    </row>
    <row r="340" spans="5:6" x14ac:dyDescent="0.35">
      <c r="E340" s="3"/>
      <c r="F340" s="3"/>
    </row>
    <row r="341" spans="5:6" x14ac:dyDescent="0.35">
      <c r="E341" s="3"/>
      <c r="F341" s="3"/>
    </row>
    <row r="342" spans="5:6" x14ac:dyDescent="0.35">
      <c r="E342" s="3"/>
      <c r="F342" s="3"/>
    </row>
    <row r="343" spans="5:6" x14ac:dyDescent="0.35">
      <c r="E343" s="3"/>
      <c r="F343" s="3"/>
    </row>
    <row r="344" spans="5:6" x14ac:dyDescent="0.35">
      <c r="E344" s="3"/>
      <c r="F344" s="3"/>
    </row>
    <row r="345" spans="5:6" x14ac:dyDescent="0.35">
      <c r="E345" s="3"/>
      <c r="F345" s="3"/>
    </row>
    <row r="346" spans="5:6" x14ac:dyDescent="0.35">
      <c r="E346" s="3"/>
      <c r="F346" s="3"/>
    </row>
    <row r="347" spans="5:6" x14ac:dyDescent="0.35">
      <c r="E347" s="3"/>
      <c r="F347" s="3"/>
    </row>
    <row r="348" spans="5:6" x14ac:dyDescent="0.35">
      <c r="E348" s="3"/>
      <c r="F348" s="3"/>
    </row>
    <row r="349" spans="5:6" x14ac:dyDescent="0.35">
      <c r="E349" s="3"/>
      <c r="F349" s="3"/>
    </row>
    <row r="350" spans="5:6" x14ac:dyDescent="0.35">
      <c r="E350" s="3"/>
      <c r="F350" s="3"/>
    </row>
    <row r="351" spans="5:6" x14ac:dyDescent="0.35">
      <c r="E351" s="3"/>
      <c r="F351" s="3"/>
    </row>
    <row r="352" spans="5:6" x14ac:dyDescent="0.35">
      <c r="E352" s="3"/>
      <c r="F352" s="3"/>
    </row>
    <row r="353" spans="5:6" x14ac:dyDescent="0.35">
      <c r="E353" s="3"/>
      <c r="F353" s="3"/>
    </row>
    <row r="354" spans="5:6" x14ac:dyDescent="0.35">
      <c r="E354" s="3"/>
      <c r="F354" s="3"/>
    </row>
    <row r="355" spans="5:6" x14ac:dyDescent="0.35">
      <c r="E355" s="3"/>
      <c r="F355" s="3"/>
    </row>
    <row r="356" spans="5:6" x14ac:dyDescent="0.35">
      <c r="E356" s="3"/>
      <c r="F356" s="3"/>
    </row>
    <row r="357" spans="5:6" x14ac:dyDescent="0.35">
      <c r="E357" s="3"/>
      <c r="F357" s="3"/>
    </row>
    <row r="358" spans="5:6" x14ac:dyDescent="0.35">
      <c r="E358" s="3"/>
      <c r="F358" s="3"/>
    </row>
    <row r="359" spans="5:6" x14ac:dyDescent="0.35">
      <c r="E359" s="3"/>
      <c r="F359" s="3"/>
    </row>
    <row r="360" spans="5:6" x14ac:dyDescent="0.35">
      <c r="E360" s="3"/>
      <c r="F360" s="3"/>
    </row>
    <row r="361" spans="5:6" x14ac:dyDescent="0.35">
      <c r="E361" s="3"/>
      <c r="F361" s="3"/>
    </row>
    <row r="362" spans="5:6" x14ac:dyDescent="0.35">
      <c r="E362" s="3"/>
      <c r="F362" s="3"/>
    </row>
    <row r="363" spans="5:6" x14ac:dyDescent="0.35">
      <c r="E363" s="3"/>
      <c r="F363" s="3"/>
    </row>
    <row r="364" spans="5:6" x14ac:dyDescent="0.35">
      <c r="E364" s="3"/>
      <c r="F364" s="3"/>
    </row>
    <row r="365" spans="5:6" x14ac:dyDescent="0.35">
      <c r="E365" s="3"/>
      <c r="F365" s="3"/>
    </row>
    <row r="366" spans="5:6" x14ac:dyDescent="0.35">
      <c r="E366" s="3"/>
      <c r="F366" s="3"/>
    </row>
    <row r="367" spans="5:6" x14ac:dyDescent="0.35">
      <c r="E367" s="3"/>
      <c r="F367" s="3"/>
    </row>
    <row r="368" spans="5:6" x14ac:dyDescent="0.35">
      <c r="E368" s="3"/>
      <c r="F368" s="3"/>
    </row>
    <row r="369" spans="5:6" x14ac:dyDescent="0.35">
      <c r="E369" s="3"/>
      <c r="F369" s="3"/>
    </row>
    <row r="370" spans="5:6" x14ac:dyDescent="0.35">
      <c r="E370" s="3"/>
      <c r="F370" s="3"/>
    </row>
    <row r="371" spans="5:6" x14ac:dyDescent="0.35">
      <c r="E371" s="3"/>
      <c r="F371" s="3"/>
    </row>
    <row r="372" spans="5:6" x14ac:dyDescent="0.35">
      <c r="E372" s="3"/>
      <c r="F372" s="3"/>
    </row>
    <row r="373" spans="5:6" x14ac:dyDescent="0.35">
      <c r="E373" s="3"/>
      <c r="F373" s="3"/>
    </row>
    <row r="374" spans="5:6" x14ac:dyDescent="0.35">
      <c r="E374" s="3"/>
      <c r="F374" s="3"/>
    </row>
    <row r="375" spans="5:6" x14ac:dyDescent="0.35">
      <c r="E375" s="3"/>
      <c r="F375" s="3"/>
    </row>
    <row r="376" spans="5:6" x14ac:dyDescent="0.35">
      <c r="E376" s="3"/>
      <c r="F376" s="3"/>
    </row>
    <row r="377" spans="5:6" x14ac:dyDescent="0.35">
      <c r="E377" s="3"/>
      <c r="F377" s="3"/>
    </row>
    <row r="378" spans="5:6" x14ac:dyDescent="0.35">
      <c r="E378" s="3"/>
      <c r="F378" s="3"/>
    </row>
    <row r="379" spans="5:6" x14ac:dyDescent="0.35">
      <c r="E379" s="3"/>
      <c r="F379" s="3"/>
    </row>
    <row r="380" spans="5:6" x14ac:dyDescent="0.35">
      <c r="E380" s="3"/>
      <c r="F380" s="3"/>
    </row>
    <row r="381" spans="5:6" x14ac:dyDescent="0.35">
      <c r="E381" s="3"/>
      <c r="F381" s="3"/>
    </row>
    <row r="382" spans="5:6" x14ac:dyDescent="0.35">
      <c r="E382" s="3"/>
      <c r="F382" s="3"/>
    </row>
    <row r="383" spans="5:6" x14ac:dyDescent="0.35">
      <c r="E383" s="3"/>
      <c r="F383" s="3"/>
    </row>
    <row r="384" spans="5:6" x14ac:dyDescent="0.35">
      <c r="E384" s="3"/>
      <c r="F384" s="3"/>
    </row>
    <row r="385" spans="5:6" x14ac:dyDescent="0.35">
      <c r="E385" s="3"/>
      <c r="F385" s="3"/>
    </row>
    <row r="386" spans="5:6" x14ac:dyDescent="0.35">
      <c r="E386" s="3"/>
      <c r="F386" s="3"/>
    </row>
    <row r="387" spans="5:6" x14ac:dyDescent="0.35">
      <c r="E387" s="3"/>
      <c r="F387" s="3"/>
    </row>
    <row r="388" spans="5:6" x14ac:dyDescent="0.35">
      <c r="E388" s="3"/>
      <c r="F388" s="3"/>
    </row>
    <row r="389" spans="5:6" x14ac:dyDescent="0.35">
      <c r="E389" s="3"/>
      <c r="F389" s="3"/>
    </row>
    <row r="390" spans="5:6" x14ac:dyDescent="0.35">
      <c r="E390" s="3"/>
      <c r="F390" s="3"/>
    </row>
    <row r="391" spans="5:6" x14ac:dyDescent="0.35">
      <c r="E391" s="3"/>
      <c r="F391" s="3"/>
    </row>
    <row r="392" spans="5:6" x14ac:dyDescent="0.35">
      <c r="E392" s="3"/>
      <c r="F392" s="3"/>
    </row>
    <row r="393" spans="5:6" x14ac:dyDescent="0.35">
      <c r="E393" s="3"/>
      <c r="F393" s="3"/>
    </row>
    <row r="394" spans="5:6" x14ac:dyDescent="0.35">
      <c r="E394" s="3"/>
      <c r="F394" s="3"/>
    </row>
    <row r="395" spans="5:6" x14ac:dyDescent="0.35">
      <c r="E395" s="3"/>
      <c r="F395" s="3"/>
    </row>
    <row r="396" spans="5:6" x14ac:dyDescent="0.35">
      <c r="E396" s="3"/>
      <c r="F396" s="3"/>
    </row>
    <row r="397" spans="5:6" x14ac:dyDescent="0.35">
      <c r="E397" s="3"/>
      <c r="F397" s="3"/>
    </row>
    <row r="398" spans="5:6" x14ac:dyDescent="0.35">
      <c r="E398" s="3"/>
      <c r="F398" s="3"/>
    </row>
    <row r="399" spans="5:6" x14ac:dyDescent="0.35">
      <c r="E399" s="3"/>
      <c r="F399" s="3"/>
    </row>
    <row r="400" spans="5:6" x14ac:dyDescent="0.35">
      <c r="E400" s="3"/>
      <c r="F400" s="3"/>
    </row>
    <row r="401" spans="5:6" x14ac:dyDescent="0.35">
      <c r="E401" s="3"/>
      <c r="F401" s="3"/>
    </row>
    <row r="402" spans="5:6" x14ac:dyDescent="0.35">
      <c r="E402" s="3"/>
      <c r="F402" s="3"/>
    </row>
    <row r="403" spans="5:6" x14ac:dyDescent="0.35">
      <c r="E403" s="3"/>
      <c r="F403" s="3"/>
    </row>
    <row r="404" spans="5:6" x14ac:dyDescent="0.35">
      <c r="E404" s="3"/>
      <c r="F404" s="3"/>
    </row>
    <row r="405" spans="5:6" x14ac:dyDescent="0.35">
      <c r="E405" s="3"/>
      <c r="F405" s="3"/>
    </row>
    <row r="406" spans="5:6" x14ac:dyDescent="0.35">
      <c r="E406" s="3"/>
      <c r="F406" s="3"/>
    </row>
    <row r="407" spans="5:6" x14ac:dyDescent="0.35">
      <c r="E407" s="3"/>
      <c r="F407" s="3"/>
    </row>
    <row r="408" spans="5:6" x14ac:dyDescent="0.35">
      <c r="E408" s="3"/>
      <c r="F408" s="3"/>
    </row>
    <row r="409" spans="5:6" x14ac:dyDescent="0.35">
      <c r="E409" s="3"/>
      <c r="F409" s="3"/>
    </row>
    <row r="410" spans="5:6" x14ac:dyDescent="0.35">
      <c r="E410" s="3"/>
      <c r="F410" s="3"/>
    </row>
    <row r="411" spans="5:6" x14ac:dyDescent="0.35">
      <c r="E411" s="3"/>
      <c r="F411" s="3"/>
    </row>
    <row r="412" spans="5:6" x14ac:dyDescent="0.35">
      <c r="E412" s="3"/>
      <c r="F412" s="3"/>
    </row>
    <row r="413" spans="5:6" x14ac:dyDescent="0.35">
      <c r="E413" s="3"/>
      <c r="F413" s="3"/>
    </row>
    <row r="414" spans="5:6" x14ac:dyDescent="0.35">
      <c r="E414" s="3"/>
      <c r="F414" s="3"/>
    </row>
    <row r="415" spans="5:6" x14ac:dyDescent="0.35">
      <c r="E415" s="3"/>
      <c r="F415" s="3"/>
    </row>
    <row r="416" spans="5:6" x14ac:dyDescent="0.35">
      <c r="E416" s="3"/>
      <c r="F416" s="3"/>
    </row>
    <row r="417" spans="5:6" x14ac:dyDescent="0.35">
      <c r="E417" s="3"/>
      <c r="F417" s="3"/>
    </row>
    <row r="418" spans="5:6" x14ac:dyDescent="0.35">
      <c r="E418" s="3"/>
      <c r="F418" s="3"/>
    </row>
    <row r="419" spans="5:6" x14ac:dyDescent="0.35">
      <c r="E419" s="3"/>
      <c r="F419" s="3"/>
    </row>
    <row r="420" spans="5:6" x14ac:dyDescent="0.35">
      <c r="E420" s="3"/>
      <c r="F420" s="3"/>
    </row>
    <row r="421" spans="5:6" x14ac:dyDescent="0.35">
      <c r="E421" s="3"/>
      <c r="F421" s="3"/>
    </row>
    <row r="422" spans="5:6" x14ac:dyDescent="0.35">
      <c r="E422" s="3"/>
      <c r="F422" s="3"/>
    </row>
    <row r="423" spans="5:6" x14ac:dyDescent="0.35">
      <c r="E423" s="3"/>
      <c r="F423" s="3"/>
    </row>
    <row r="424" spans="5:6" x14ac:dyDescent="0.35">
      <c r="E424" s="3"/>
      <c r="F424" s="3"/>
    </row>
    <row r="425" spans="5:6" x14ac:dyDescent="0.35">
      <c r="E425" s="3"/>
      <c r="F425" s="3"/>
    </row>
    <row r="426" spans="5:6" x14ac:dyDescent="0.35">
      <c r="E426" s="3"/>
      <c r="F426" s="3"/>
    </row>
    <row r="427" spans="5:6" x14ac:dyDescent="0.35">
      <c r="E427" s="3"/>
      <c r="F427" s="3"/>
    </row>
    <row r="428" spans="5:6" x14ac:dyDescent="0.35">
      <c r="E428" s="3"/>
      <c r="F428" s="3"/>
    </row>
    <row r="429" spans="5:6" x14ac:dyDescent="0.35">
      <c r="E429" s="3"/>
      <c r="F429" s="3"/>
    </row>
    <row r="430" spans="5:6" x14ac:dyDescent="0.35">
      <c r="E430" s="3"/>
      <c r="F430" s="3"/>
    </row>
    <row r="431" spans="5:6" x14ac:dyDescent="0.35">
      <c r="E431" s="3"/>
      <c r="F431" s="3"/>
    </row>
    <row r="432" spans="5:6" x14ac:dyDescent="0.35">
      <c r="E432" s="3"/>
      <c r="F432" s="3"/>
    </row>
    <row r="433" spans="5:6" x14ac:dyDescent="0.35">
      <c r="E433" s="3"/>
      <c r="F433" s="3"/>
    </row>
    <row r="434" spans="5:6" x14ac:dyDescent="0.35">
      <c r="E434" s="3"/>
      <c r="F43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E103" sqref="E103"/>
    </sheetView>
  </sheetViews>
  <sheetFormatPr defaultRowHeight="14.5" x14ac:dyDescent="0.35"/>
  <sheetData>
    <row r="1" spans="1:7" x14ac:dyDescent="0.35">
      <c r="B1" t="s">
        <v>5</v>
      </c>
      <c r="C1" t="s">
        <v>1</v>
      </c>
      <c r="D1" t="s">
        <v>2</v>
      </c>
      <c r="E1" t="s">
        <v>6</v>
      </c>
      <c r="F1" t="s">
        <v>3</v>
      </c>
      <c r="G1" t="s">
        <v>4</v>
      </c>
    </row>
    <row r="2" spans="1:7" x14ac:dyDescent="0.35">
      <c r="A2">
        <v>400</v>
      </c>
      <c r="B2">
        <v>121.7</v>
      </c>
      <c r="D2">
        <v>439.15</v>
      </c>
      <c r="E2">
        <v>182.6</v>
      </c>
      <c r="F2">
        <v>549.48</v>
      </c>
    </row>
    <row r="3" spans="1:7" x14ac:dyDescent="0.35">
      <c r="A3">
        <v>300</v>
      </c>
      <c r="B3">
        <v>157.4</v>
      </c>
      <c r="D3">
        <v>566.15</v>
      </c>
      <c r="E3">
        <v>238.91</v>
      </c>
      <c r="F3">
        <v>705.99</v>
      </c>
    </row>
    <row r="4" spans="1:7" x14ac:dyDescent="0.35">
      <c r="A4">
        <v>200</v>
      </c>
      <c r="B4">
        <v>234.58</v>
      </c>
      <c r="D4">
        <v>804.88</v>
      </c>
      <c r="E4">
        <v>346.49</v>
      </c>
      <c r="F4">
        <v>982.39</v>
      </c>
    </row>
    <row r="5" spans="1:7" x14ac:dyDescent="0.35">
      <c r="A5">
        <v>150</v>
      </c>
      <c r="B5">
        <v>310.3</v>
      </c>
      <c r="D5">
        <v>1022.53</v>
      </c>
      <c r="E5">
        <v>457.81</v>
      </c>
      <c r="F5">
        <v>1263.6600000000001</v>
      </c>
    </row>
    <row r="6" spans="1:7" x14ac:dyDescent="0.35">
      <c r="A6">
        <v>100</v>
      </c>
      <c r="B6">
        <v>454.33</v>
      </c>
      <c r="D6">
        <v>1336.11</v>
      </c>
      <c r="E6">
        <v>655.37</v>
      </c>
      <c r="F6">
        <v>1734.76</v>
      </c>
    </row>
    <row r="7" spans="1:7" x14ac:dyDescent="0.35">
      <c r="A7">
        <v>75</v>
      </c>
      <c r="B7">
        <v>592.89</v>
      </c>
      <c r="D7">
        <v>1491.19</v>
      </c>
      <c r="E7">
        <v>837.62</v>
      </c>
      <c r="F7">
        <v>2103.83</v>
      </c>
    </row>
    <row r="8" spans="1:7" x14ac:dyDescent="0.35">
      <c r="A8">
        <v>60</v>
      </c>
      <c r="B8">
        <v>719.2</v>
      </c>
      <c r="D8">
        <v>1518.31</v>
      </c>
      <c r="E8">
        <v>988.22</v>
      </c>
      <c r="F8">
        <v>2353.3000000000002</v>
      </c>
    </row>
    <row r="9" spans="1:7" x14ac:dyDescent="0.35">
      <c r="A9">
        <v>50</v>
      </c>
      <c r="B9">
        <v>817.68</v>
      </c>
      <c r="D9">
        <v>1452.29</v>
      </c>
      <c r="E9">
        <v>1082.71</v>
      </c>
      <c r="F9">
        <v>2581.86</v>
      </c>
    </row>
    <row r="10" spans="1:7" x14ac:dyDescent="0.35">
      <c r="A10">
        <v>25</v>
      </c>
      <c r="B10">
        <v>971.34</v>
      </c>
      <c r="D10">
        <v>951.64</v>
      </c>
      <c r="E10">
        <v>1047.92</v>
      </c>
      <c r="F10">
        <v>2739.53</v>
      </c>
    </row>
    <row r="11" spans="1:7" x14ac:dyDescent="0.35">
      <c r="A11">
        <v>20</v>
      </c>
      <c r="B11">
        <v>890.72</v>
      </c>
      <c r="D11">
        <v>788.27</v>
      </c>
      <c r="E11">
        <v>912.2</v>
      </c>
      <c r="F11">
        <v>2552.0300000000002</v>
      </c>
    </row>
    <row r="12" spans="1:7" x14ac:dyDescent="0.35">
      <c r="A12">
        <v>30</v>
      </c>
      <c r="B12">
        <v>1000.08</v>
      </c>
      <c r="D12">
        <v>1095.17</v>
      </c>
      <c r="E12">
        <v>1128.42</v>
      </c>
      <c r="F12">
        <v>2738.66</v>
      </c>
    </row>
    <row r="14" spans="1:7" x14ac:dyDescent="0.35">
      <c r="B14">
        <v>30</v>
      </c>
      <c r="C14">
        <v>35</v>
      </c>
      <c r="D14">
        <v>60</v>
      </c>
      <c r="E14">
        <v>35</v>
      </c>
      <c r="F14">
        <v>25</v>
      </c>
    </row>
    <row r="20" spans="1:8" x14ac:dyDescent="0.35">
      <c r="B20" t="s">
        <v>5</v>
      </c>
      <c r="C20" t="s">
        <v>1</v>
      </c>
      <c r="D20" t="s">
        <v>2</v>
      </c>
      <c r="E20" t="s">
        <v>6</v>
      </c>
      <c r="F20" t="s">
        <v>3</v>
      </c>
      <c r="G20" t="s">
        <v>7</v>
      </c>
    </row>
    <row r="21" spans="1:8" x14ac:dyDescent="0.35">
      <c r="A21">
        <v>400</v>
      </c>
      <c r="B21">
        <v>76.2</v>
      </c>
      <c r="D21">
        <v>271.83</v>
      </c>
      <c r="E21">
        <v>114.3</v>
      </c>
      <c r="F21">
        <v>470.66</v>
      </c>
    </row>
    <row r="22" spans="1:8" x14ac:dyDescent="0.35">
      <c r="A22">
        <v>300</v>
      </c>
      <c r="B22">
        <v>100.26</v>
      </c>
      <c r="D22">
        <v>352.8</v>
      </c>
      <c r="E22">
        <v>149.88999999999999</v>
      </c>
      <c r="F22">
        <v>611.94000000000005</v>
      </c>
    </row>
    <row r="23" spans="1:8" x14ac:dyDescent="0.35">
      <c r="A23">
        <v>200</v>
      </c>
      <c r="B23">
        <v>147.12</v>
      </c>
      <c r="D23">
        <v>500.75</v>
      </c>
      <c r="E23">
        <v>216.18</v>
      </c>
      <c r="F23">
        <v>862.17</v>
      </c>
      <c r="H23" t="s">
        <v>0</v>
      </c>
    </row>
    <row r="24" spans="1:8" x14ac:dyDescent="0.35">
      <c r="A24">
        <v>150</v>
      </c>
      <c r="B24">
        <v>192.58</v>
      </c>
      <c r="D24">
        <v>637.48</v>
      </c>
      <c r="E24">
        <v>281.5</v>
      </c>
      <c r="F24">
        <v>1109.93</v>
      </c>
    </row>
    <row r="25" spans="1:8" x14ac:dyDescent="0.35">
      <c r="A25">
        <v>100</v>
      </c>
      <c r="B25">
        <v>280.94</v>
      </c>
      <c r="D25">
        <v>842.68</v>
      </c>
      <c r="E25">
        <v>401.72</v>
      </c>
      <c r="F25">
        <v>1527.14</v>
      </c>
    </row>
    <row r="26" spans="1:8" x14ac:dyDescent="0.35">
      <c r="A26">
        <v>75</v>
      </c>
      <c r="B26">
        <v>362.46</v>
      </c>
      <c r="D26">
        <v>950.19</v>
      </c>
      <c r="E26">
        <v>512.04999999999995</v>
      </c>
      <c r="F26">
        <v>1852.28</v>
      </c>
    </row>
    <row r="27" spans="1:8" x14ac:dyDescent="0.35">
      <c r="A27">
        <v>60</v>
      </c>
      <c r="B27">
        <v>434.66</v>
      </c>
      <c r="D27">
        <v>987.52</v>
      </c>
      <c r="E27">
        <v>598.24</v>
      </c>
      <c r="F27">
        <v>2085.4899999999998</v>
      </c>
    </row>
    <row r="28" spans="1:8" x14ac:dyDescent="0.35">
      <c r="A28">
        <v>50</v>
      </c>
      <c r="B28">
        <v>496.13</v>
      </c>
      <c r="D28">
        <v>960.09</v>
      </c>
      <c r="E28">
        <v>655.39</v>
      </c>
      <c r="F28">
        <v>2278.6</v>
      </c>
    </row>
    <row r="29" spans="1:8" x14ac:dyDescent="0.35">
      <c r="A29">
        <v>25</v>
      </c>
      <c r="B29">
        <v>612.02</v>
      </c>
      <c r="D29">
        <v>640.05999999999995</v>
      </c>
      <c r="E29">
        <v>657.78</v>
      </c>
      <c r="F29">
        <v>2353.3000000000002</v>
      </c>
    </row>
    <row r="30" spans="1:8" x14ac:dyDescent="0.35">
      <c r="A30">
        <v>20</v>
      </c>
      <c r="B30">
        <v>567.87</v>
      </c>
      <c r="D30">
        <v>528.57000000000005</v>
      </c>
      <c r="E30">
        <v>582.42999999999995</v>
      </c>
      <c r="F30">
        <v>2175.02</v>
      </c>
    </row>
    <row r="31" spans="1:8" x14ac:dyDescent="0.35">
      <c r="A31">
        <v>30</v>
      </c>
      <c r="B31">
        <v>617.70000000000005</v>
      </c>
      <c r="D31">
        <v>733.68</v>
      </c>
      <c r="E31">
        <v>705.76</v>
      </c>
      <c r="F31">
        <v>2366.23</v>
      </c>
    </row>
    <row r="32" spans="1:8" x14ac:dyDescent="0.35">
      <c r="B32">
        <v>30</v>
      </c>
      <c r="C32">
        <v>30</v>
      </c>
      <c r="D32">
        <v>60</v>
      </c>
      <c r="E32">
        <v>35</v>
      </c>
      <c r="F32">
        <v>35</v>
      </c>
    </row>
    <row r="37" spans="1:7" x14ac:dyDescent="0.35">
      <c r="B37" t="s">
        <v>5</v>
      </c>
      <c r="C37" t="s">
        <v>1</v>
      </c>
      <c r="D37" t="s">
        <v>2</v>
      </c>
      <c r="E37" t="s">
        <v>6</v>
      </c>
      <c r="F37" t="s">
        <v>3</v>
      </c>
      <c r="G37" t="s">
        <v>9</v>
      </c>
    </row>
    <row r="38" spans="1:7" x14ac:dyDescent="0.35">
      <c r="A38">
        <v>400</v>
      </c>
      <c r="B38">
        <v>537.83000000000004</v>
      </c>
      <c r="D38">
        <v>1758.04</v>
      </c>
      <c r="E38">
        <v>705.87</v>
      </c>
      <c r="F38">
        <v>1907.6</v>
      </c>
    </row>
    <row r="39" spans="1:7" x14ac:dyDescent="0.35">
      <c r="A39">
        <v>300</v>
      </c>
      <c r="B39">
        <v>696.48</v>
      </c>
      <c r="D39">
        <v>2172.54</v>
      </c>
      <c r="E39">
        <v>901.69</v>
      </c>
      <c r="F39">
        <v>2366.1999999999998</v>
      </c>
    </row>
    <row r="40" spans="1:7" x14ac:dyDescent="0.35">
      <c r="A40">
        <v>200</v>
      </c>
      <c r="B40">
        <v>985.5</v>
      </c>
      <c r="D40">
        <v>2754.86</v>
      </c>
      <c r="E40">
        <v>1273.3800000000001</v>
      </c>
      <c r="F40">
        <v>3139.45</v>
      </c>
    </row>
    <row r="41" spans="1:7" x14ac:dyDescent="0.35">
      <c r="A41">
        <v>150</v>
      </c>
      <c r="B41">
        <v>1267.5999999999999</v>
      </c>
      <c r="D41">
        <v>3062.13</v>
      </c>
      <c r="E41">
        <v>1598.59</v>
      </c>
      <c r="F41">
        <v>3687.11</v>
      </c>
    </row>
    <row r="42" spans="1:7" x14ac:dyDescent="0.35">
      <c r="A42">
        <v>100</v>
      </c>
      <c r="B42">
        <v>1713.26</v>
      </c>
      <c r="D42">
        <v>3050.48</v>
      </c>
      <c r="E42">
        <v>1994.57</v>
      </c>
      <c r="F42">
        <v>4430.6000000000004</v>
      </c>
    </row>
    <row r="43" spans="1:7" x14ac:dyDescent="0.35">
      <c r="A43">
        <v>75</v>
      </c>
      <c r="B43">
        <v>1977.54</v>
      </c>
      <c r="D43">
        <v>2749.2</v>
      </c>
      <c r="E43">
        <v>2101.2399999999998</v>
      </c>
      <c r="F43">
        <v>4691.2299999999996</v>
      </c>
    </row>
    <row r="44" spans="1:7" x14ac:dyDescent="0.35">
      <c r="A44">
        <v>60</v>
      </c>
      <c r="B44">
        <v>2097.38</v>
      </c>
      <c r="D44">
        <v>2436.67</v>
      </c>
      <c r="E44">
        <v>2051.02</v>
      </c>
      <c r="F44">
        <v>4738.97</v>
      </c>
    </row>
    <row r="45" spans="1:7" x14ac:dyDescent="0.35">
      <c r="A45">
        <v>50</v>
      </c>
      <c r="B45">
        <v>2086.56</v>
      </c>
      <c r="D45">
        <v>2148.09</v>
      </c>
      <c r="E45">
        <v>1922.83</v>
      </c>
      <c r="F45">
        <v>4638.17</v>
      </c>
    </row>
    <row r="46" spans="1:7" x14ac:dyDescent="0.35">
      <c r="A46">
        <v>25</v>
      </c>
      <c r="B46">
        <v>1447.03</v>
      </c>
      <c r="D46">
        <v>1210.24</v>
      </c>
      <c r="E46">
        <v>1190.19</v>
      </c>
      <c r="F46">
        <v>3579.83</v>
      </c>
    </row>
    <row r="47" spans="1:7" x14ac:dyDescent="0.35">
      <c r="A47">
        <v>20</v>
      </c>
      <c r="B47">
        <v>1207.24</v>
      </c>
      <c r="D47">
        <v>982.43</v>
      </c>
      <c r="E47">
        <v>988.22</v>
      </c>
      <c r="F47">
        <v>3103.8</v>
      </c>
    </row>
    <row r="48" spans="1:7" x14ac:dyDescent="0.35">
      <c r="A48">
        <v>30</v>
      </c>
      <c r="B48">
        <v>1657</v>
      </c>
      <c r="D48">
        <v>1421.39</v>
      </c>
      <c r="E48">
        <v>1376</v>
      </c>
      <c r="F48">
        <v>3941.9</v>
      </c>
    </row>
    <row r="49" spans="1:7" x14ac:dyDescent="0.35">
      <c r="B49">
        <v>60</v>
      </c>
      <c r="C49" t="s">
        <v>10</v>
      </c>
      <c r="D49">
        <v>130</v>
      </c>
      <c r="E49">
        <v>70</v>
      </c>
      <c r="F49">
        <v>65</v>
      </c>
    </row>
    <row r="54" spans="1:7" x14ac:dyDescent="0.35">
      <c r="B54" t="s">
        <v>5</v>
      </c>
      <c r="C54" t="s">
        <v>1</v>
      </c>
      <c r="D54" t="s">
        <v>2</v>
      </c>
      <c r="E54" t="s">
        <v>6</v>
      </c>
      <c r="F54" t="s">
        <v>3</v>
      </c>
      <c r="G54" t="s">
        <v>11</v>
      </c>
    </row>
    <row r="55" spans="1:7" x14ac:dyDescent="0.35">
      <c r="A55">
        <v>400</v>
      </c>
      <c r="B55">
        <v>261.08</v>
      </c>
      <c r="D55">
        <v>847.53</v>
      </c>
      <c r="E55">
        <v>431.58</v>
      </c>
      <c r="F55">
        <v>1616.34</v>
      </c>
    </row>
    <row r="56" spans="1:7" x14ac:dyDescent="0.35">
      <c r="A56">
        <v>300</v>
      </c>
      <c r="B56">
        <v>339.58</v>
      </c>
      <c r="D56">
        <v>1045.8900000000001</v>
      </c>
      <c r="E56">
        <v>531.38</v>
      </c>
      <c r="F56">
        <v>1996.08</v>
      </c>
    </row>
    <row r="57" spans="1:7" x14ac:dyDescent="0.35">
      <c r="A57">
        <v>200</v>
      </c>
      <c r="B57">
        <v>488.34</v>
      </c>
      <c r="D57">
        <v>1310.84</v>
      </c>
      <c r="E57">
        <v>776.74</v>
      </c>
      <c r="F57">
        <v>2633.97</v>
      </c>
    </row>
    <row r="58" spans="1:7" x14ac:dyDescent="0.35">
      <c r="A58">
        <v>150</v>
      </c>
      <c r="B58">
        <v>628.1</v>
      </c>
      <c r="D58">
        <v>1419.8</v>
      </c>
      <c r="E58">
        <v>965.85</v>
      </c>
      <c r="F58">
        <v>3067.34</v>
      </c>
    </row>
    <row r="59" spans="1:7" x14ac:dyDescent="0.35">
      <c r="A59">
        <v>100</v>
      </c>
      <c r="B59">
        <v>844.86</v>
      </c>
      <c r="D59">
        <v>1404.48</v>
      </c>
      <c r="E59">
        <v>1209.47</v>
      </c>
      <c r="F59">
        <v>3625.04</v>
      </c>
    </row>
    <row r="60" spans="1:7" x14ac:dyDescent="0.35">
      <c r="A60">
        <v>75</v>
      </c>
      <c r="B60">
        <v>971.59</v>
      </c>
      <c r="D60">
        <v>1249.74</v>
      </c>
      <c r="E60">
        <v>1304.1300000000001</v>
      </c>
      <c r="F60">
        <v>3771.06</v>
      </c>
    </row>
    <row r="61" spans="1:7" x14ac:dyDescent="0.35">
      <c r="A61">
        <v>60</v>
      </c>
      <c r="B61">
        <v>1008.35</v>
      </c>
      <c r="D61">
        <v>1100.52</v>
      </c>
      <c r="E61">
        <v>1287.03</v>
      </c>
      <c r="F61">
        <v>3785.97</v>
      </c>
    </row>
    <row r="62" spans="1:7" x14ac:dyDescent="0.35">
      <c r="A62">
        <v>50</v>
      </c>
      <c r="B62">
        <v>988.05</v>
      </c>
      <c r="D62">
        <v>970.2</v>
      </c>
      <c r="E62">
        <v>1219.31</v>
      </c>
      <c r="F62">
        <v>3709.34</v>
      </c>
    </row>
    <row r="63" spans="1:7" x14ac:dyDescent="0.35">
      <c r="A63">
        <v>25</v>
      </c>
      <c r="B63">
        <v>661.51</v>
      </c>
      <c r="D63">
        <v>548.62</v>
      </c>
      <c r="E63">
        <v>775.73</v>
      </c>
      <c r="F63">
        <v>2760.6</v>
      </c>
    </row>
    <row r="64" spans="1:7" x14ac:dyDescent="0.35">
      <c r="A64">
        <v>20</v>
      </c>
      <c r="B64">
        <v>550.28</v>
      </c>
      <c r="D64">
        <v>448.23</v>
      </c>
      <c r="E64">
        <v>642.75</v>
      </c>
      <c r="F64">
        <v>2402.5300000000002</v>
      </c>
    </row>
    <row r="65" spans="1:6" x14ac:dyDescent="0.35">
      <c r="A65">
        <v>30</v>
      </c>
      <c r="B65">
        <v>758.31</v>
      </c>
      <c r="D65">
        <v>643.04</v>
      </c>
      <c r="E65">
        <v>896.86</v>
      </c>
      <c r="F65">
        <v>3059.71</v>
      </c>
    </row>
    <row r="66" spans="1:6" x14ac:dyDescent="0.35">
      <c r="B66">
        <v>55</v>
      </c>
      <c r="C66">
        <v>55</v>
      </c>
      <c r="D66">
        <v>130</v>
      </c>
      <c r="E66">
        <v>70</v>
      </c>
      <c r="F66">
        <v>70</v>
      </c>
    </row>
    <row r="74" spans="1:6" x14ac:dyDescent="0.35">
      <c r="B74" t="s">
        <v>5</v>
      </c>
    </row>
    <row r="75" spans="1:6" x14ac:dyDescent="0.35">
      <c r="B75" t="s">
        <v>3</v>
      </c>
      <c r="C75" t="s">
        <v>18</v>
      </c>
    </row>
    <row r="76" spans="1:6" x14ac:dyDescent="0.35">
      <c r="A76">
        <v>400</v>
      </c>
      <c r="B76">
        <v>35.359422382671511</v>
      </c>
      <c r="C76">
        <v>448.10325038175063</v>
      </c>
      <c r="D76">
        <v>182.6</v>
      </c>
      <c r="E76">
        <v>549.48</v>
      </c>
    </row>
    <row r="77" spans="1:6" x14ac:dyDescent="0.35">
      <c r="A77">
        <v>300</v>
      </c>
      <c r="B77">
        <v>43.030493723849411</v>
      </c>
      <c r="C77">
        <v>569.95588864345473</v>
      </c>
      <c r="D77">
        <v>238.91</v>
      </c>
      <c r="E77">
        <v>705.99</v>
      </c>
    </row>
    <row r="78" spans="1:6" x14ac:dyDescent="0.35">
      <c r="A78">
        <v>200</v>
      </c>
      <c r="B78">
        <v>56.756556291390773</v>
      </c>
      <c r="C78">
        <v>785.01359383791817</v>
      </c>
      <c r="D78">
        <v>346.49</v>
      </c>
      <c r="E78">
        <v>982.39</v>
      </c>
    </row>
    <row r="79" spans="1:6" x14ac:dyDescent="0.35">
      <c r="A79">
        <v>150</v>
      </c>
      <c r="B79">
        <v>66.946283036063065</v>
      </c>
      <c r="C79">
        <v>968.66356303853206</v>
      </c>
      <c r="D79">
        <v>457.81</v>
      </c>
      <c r="E79">
        <v>1263.6600000000001</v>
      </c>
    </row>
    <row r="80" spans="1:6" x14ac:dyDescent="0.35">
      <c r="A80">
        <v>100</v>
      </c>
      <c r="B80">
        <v>85.488678304239471</v>
      </c>
      <c r="C80">
        <v>1217.1099999999999</v>
      </c>
      <c r="D80">
        <v>655.37</v>
      </c>
      <c r="E80">
        <v>1734.76</v>
      </c>
    </row>
    <row r="81" spans="1:5" x14ac:dyDescent="0.35">
      <c r="A81">
        <v>75</v>
      </c>
      <c r="B81">
        <v>100.2758190327614</v>
      </c>
      <c r="C81">
        <v>1305.6500000000001</v>
      </c>
      <c r="D81">
        <v>837.62</v>
      </c>
      <c r="E81">
        <v>2103.83</v>
      </c>
    </row>
    <row r="82" spans="1:5" x14ac:dyDescent="0.35">
      <c r="A82">
        <v>60</v>
      </c>
      <c r="B82">
        <v>107.57623430962354</v>
      </c>
      <c r="C82">
        <v>1291.55</v>
      </c>
      <c r="D82">
        <v>988.22</v>
      </c>
      <c r="E82">
        <v>2353.3000000000002</v>
      </c>
    </row>
    <row r="83" spans="1:5" x14ac:dyDescent="0.35">
      <c r="A83">
        <v>50</v>
      </c>
      <c r="B83">
        <v>115.89235970250178</v>
      </c>
      <c r="C83">
        <v>1213.6099999999999</v>
      </c>
      <c r="D83">
        <v>1082.71</v>
      </c>
      <c r="E83">
        <v>2581.86</v>
      </c>
    </row>
    <row r="84" spans="1:5" x14ac:dyDescent="0.35">
      <c r="A84">
        <v>25</v>
      </c>
      <c r="B84">
        <v>107.53124215809294</v>
      </c>
      <c r="C84">
        <v>771.81</v>
      </c>
      <c r="D84">
        <v>1047.92</v>
      </c>
      <c r="E84">
        <v>2739.53</v>
      </c>
    </row>
    <row r="85" spans="1:5" x14ac:dyDescent="0.35">
      <c r="A85">
        <v>20</v>
      </c>
      <c r="B85">
        <v>96.025098039215749</v>
      </c>
      <c r="C85">
        <v>639.9</v>
      </c>
      <c r="D85">
        <v>912.2</v>
      </c>
      <c r="E85">
        <v>2552.0300000000002</v>
      </c>
    </row>
    <row r="86" spans="1:5" x14ac:dyDescent="0.35">
      <c r="A86">
        <v>30</v>
      </c>
      <c r="B86">
        <v>112.39659016393453</v>
      </c>
      <c r="C86">
        <v>888.5</v>
      </c>
      <c r="D86">
        <v>1128.42</v>
      </c>
      <c r="E86">
        <v>2738.66</v>
      </c>
    </row>
    <row r="87" spans="1:5" x14ac:dyDescent="0.35">
      <c r="B87" t="s">
        <v>0</v>
      </c>
      <c r="C87" t="s">
        <v>0</v>
      </c>
      <c r="D87">
        <v>30</v>
      </c>
    </row>
    <row r="89" spans="1:5" x14ac:dyDescent="0.35">
      <c r="B89" t="s">
        <v>0</v>
      </c>
      <c r="C89" t="s">
        <v>0</v>
      </c>
    </row>
    <row r="90" spans="1:5" x14ac:dyDescent="0.35">
      <c r="B90" t="s">
        <v>3</v>
      </c>
      <c r="C90" t="s">
        <v>18</v>
      </c>
      <c r="D90" t="s">
        <v>19</v>
      </c>
    </row>
    <row r="91" spans="1:5" x14ac:dyDescent="0.35">
      <c r="A91">
        <v>400</v>
      </c>
      <c r="B91">
        <v>105.93621755253407</v>
      </c>
      <c r="C91">
        <v>1404.2803440891105</v>
      </c>
      <c r="D91">
        <v>705.87</v>
      </c>
      <c r="E91">
        <v>1907.6</v>
      </c>
    </row>
    <row r="92" spans="1:5" x14ac:dyDescent="0.35">
      <c r="A92">
        <v>300</v>
      </c>
      <c r="B92">
        <v>124.05655006031374</v>
      </c>
      <c r="C92">
        <v>1693.8662305540106</v>
      </c>
      <c r="D92">
        <v>901.69</v>
      </c>
      <c r="E92">
        <v>2366.1999999999998</v>
      </c>
    </row>
    <row r="93" spans="1:5" x14ac:dyDescent="0.35">
      <c r="A93">
        <v>200</v>
      </c>
      <c r="B93">
        <v>150.35508771929838</v>
      </c>
      <c r="C93">
        <v>2040.2768767381642</v>
      </c>
      <c r="D93">
        <v>1273.3800000000001</v>
      </c>
      <c r="E93">
        <v>3139.45</v>
      </c>
    </row>
    <row r="94" spans="1:5" x14ac:dyDescent="0.35">
      <c r="A94">
        <v>150</v>
      </c>
      <c r="B94">
        <v>167.87933398628809</v>
      </c>
      <c r="C94">
        <v>2154.7822116571429</v>
      </c>
      <c r="D94">
        <v>1598.59</v>
      </c>
      <c r="E94">
        <v>3687.11</v>
      </c>
    </row>
    <row r="95" spans="1:5" x14ac:dyDescent="0.35">
      <c r="A95">
        <v>100</v>
      </c>
      <c r="B95">
        <v>184.00944712828786</v>
      </c>
      <c r="C95">
        <v>2032.4221053166505</v>
      </c>
      <c r="D95">
        <v>1994.57</v>
      </c>
      <c r="E95">
        <v>4430.6000000000004</v>
      </c>
    </row>
    <row r="96" spans="1:5" x14ac:dyDescent="0.35">
      <c r="A96">
        <v>75</v>
      </c>
      <c r="B96">
        <v>186.71546840958624</v>
      </c>
      <c r="C96">
        <v>1799.7328699636362</v>
      </c>
      <c r="D96">
        <v>2101.2399999999998</v>
      </c>
      <c r="E96">
        <v>4691.2299999999996</v>
      </c>
    </row>
    <row r="97" spans="1:5" x14ac:dyDescent="0.35">
      <c r="A97">
        <v>60</v>
      </c>
      <c r="B97">
        <v>179.63821834061153</v>
      </c>
      <c r="C97">
        <v>1568.0840847207919</v>
      </c>
      <c r="D97">
        <v>2051.02</v>
      </c>
      <c r="E97">
        <v>4738.97</v>
      </c>
    </row>
    <row r="98" spans="1:5" x14ac:dyDescent="0.35">
      <c r="A98">
        <v>50</v>
      </c>
      <c r="B98">
        <v>171.23356643356658</v>
      </c>
      <c r="C98">
        <v>1389.267478568421</v>
      </c>
      <c r="D98">
        <v>1922.83</v>
      </c>
      <c r="E98">
        <v>4638.17</v>
      </c>
    </row>
    <row r="99" spans="1:5" x14ac:dyDescent="0.35">
      <c r="A99">
        <v>25</v>
      </c>
      <c r="B99">
        <v>120.36853932584279</v>
      </c>
      <c r="C99">
        <v>792.67513792192199</v>
      </c>
      <c r="D99">
        <v>1190.19</v>
      </c>
      <c r="E99">
        <v>3579.83</v>
      </c>
    </row>
    <row r="100" spans="1:5" x14ac:dyDescent="0.35">
      <c r="A100">
        <v>20</v>
      </c>
      <c r="B100">
        <v>107.12800000000009</v>
      </c>
      <c r="C100">
        <v>651.75511340246908</v>
      </c>
      <c r="D100">
        <v>988.22</v>
      </c>
      <c r="E100">
        <v>3103.8</v>
      </c>
    </row>
    <row r="101" spans="1:5" x14ac:dyDescent="0.35">
      <c r="A101">
        <v>30</v>
      </c>
      <c r="B101">
        <v>134.43513725490209</v>
      </c>
      <c r="C101">
        <v>930.25839974625535</v>
      </c>
      <c r="D101">
        <v>1376</v>
      </c>
      <c r="E101">
        <v>3941.9</v>
      </c>
    </row>
    <row r="102" spans="1:5" x14ac:dyDescent="0.35">
      <c r="B102">
        <v>85</v>
      </c>
      <c r="C102">
        <v>150</v>
      </c>
    </row>
    <row r="104" spans="1:5" x14ac:dyDescent="0.35">
      <c r="B104" t="s">
        <v>0</v>
      </c>
      <c r="C104" t="s">
        <v>0</v>
      </c>
    </row>
    <row r="106" spans="1:5" x14ac:dyDescent="0.35">
      <c r="B106" t="s">
        <v>0</v>
      </c>
      <c r="C106" t="s">
        <v>0</v>
      </c>
    </row>
    <row r="108" spans="1:5" x14ac:dyDescent="0.35">
      <c r="B108" t="s">
        <v>0</v>
      </c>
      <c r="C108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abSelected="1" topLeftCell="A106" workbookViewId="0">
      <selection activeCell="G111" sqref="G111"/>
    </sheetView>
  </sheetViews>
  <sheetFormatPr defaultRowHeight="14.5" x14ac:dyDescent="0.35"/>
  <sheetData>
    <row r="1" spans="1:7" ht="16.5" x14ac:dyDescent="0.4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</row>
    <row r="2" spans="1:7" x14ac:dyDescent="0.35">
      <c r="A2" s="1">
        <v>124.3</v>
      </c>
      <c r="B2">
        <f>0.017-0.0000958*A2</f>
        <v>5.0920600000000024E-3</v>
      </c>
      <c r="C2">
        <f>B3-B2</f>
        <v>4.7229399999999984E-3</v>
      </c>
      <c r="D2">
        <f>C2*1200*44590-4.2*18*23*1200*C2</f>
        <v>242860.37583359992</v>
      </c>
      <c r="E2" s="3">
        <f>D2/(190.5)</f>
        <v>1274.8576159244089</v>
      </c>
      <c r="F2" s="3">
        <v>400</v>
      </c>
      <c r="G2" t="s">
        <v>26</v>
      </c>
    </row>
    <row r="3" spans="1:7" x14ac:dyDescent="0.35">
      <c r="A3" s="1">
        <v>75</v>
      </c>
      <c r="B3">
        <f t="shared" ref="B3:B66" si="0">0.017-0.0000958*A3</f>
        <v>9.8150000000000008E-3</v>
      </c>
      <c r="D3" t="s">
        <v>0</v>
      </c>
      <c r="E3" s="3" t="s">
        <v>0</v>
      </c>
      <c r="F3" s="3"/>
    </row>
    <row r="4" spans="1:7" x14ac:dyDescent="0.35">
      <c r="A4" s="1">
        <v>124.3</v>
      </c>
      <c r="B4">
        <f t="shared" si="0"/>
        <v>5.0920600000000024E-3</v>
      </c>
      <c r="C4">
        <f>B5-B4</f>
        <v>9.5129399999999992E-3</v>
      </c>
      <c r="D4">
        <f>C4*2400*44590-4.2*18*23*2400*C4</f>
        <v>978338.1468671998</v>
      </c>
      <c r="E4" s="3">
        <f>D4/(4095)</f>
        <v>238.91041437538456</v>
      </c>
      <c r="F4" s="3">
        <v>300</v>
      </c>
    </row>
    <row r="5" spans="1:7" x14ac:dyDescent="0.35">
      <c r="A5" s="1">
        <v>25</v>
      </c>
      <c r="B5">
        <f t="shared" si="0"/>
        <v>1.4605000000000002E-2</v>
      </c>
      <c r="D5" t="s">
        <v>0</v>
      </c>
      <c r="E5" s="3" t="s">
        <v>0</v>
      </c>
      <c r="F5" s="3"/>
    </row>
    <row r="6" spans="1:7" x14ac:dyDescent="0.35">
      <c r="A6" s="1">
        <v>124.3</v>
      </c>
      <c r="B6">
        <f t="shared" si="0"/>
        <v>5.0920600000000024E-3</v>
      </c>
      <c r="C6">
        <f>B7-B6</f>
        <v>9.5129399999999992E-3</v>
      </c>
      <c r="D6">
        <f>C6*1600*44590-4.2*18*23*1600*C6</f>
        <v>652225.43124479998</v>
      </c>
      <c r="E6" s="3">
        <f>D6/(1882.4)</f>
        <v>346.48609819634504</v>
      </c>
      <c r="F6" s="3">
        <v>200</v>
      </c>
    </row>
    <row r="7" spans="1:7" x14ac:dyDescent="0.35">
      <c r="A7" s="1">
        <v>25</v>
      </c>
      <c r="B7">
        <f t="shared" si="0"/>
        <v>1.4605000000000002E-2</v>
      </c>
      <c r="D7" t="s">
        <v>0</v>
      </c>
      <c r="E7" s="3" t="s">
        <v>0</v>
      </c>
      <c r="F7" s="3"/>
    </row>
    <row r="8" spans="1:7" x14ac:dyDescent="0.35">
      <c r="A8" s="1">
        <v>124.3</v>
      </c>
      <c r="B8">
        <f t="shared" si="0"/>
        <v>5.0920600000000024E-3</v>
      </c>
      <c r="C8">
        <f>B9-B8</f>
        <v>9.5129399999999992E-3</v>
      </c>
      <c r="D8">
        <f>C8*1200*44590-4.2*18*23*1200*C8</f>
        <v>489169.0734335999</v>
      </c>
      <c r="E8" s="3">
        <f>D8/(1068.5)</f>
        <v>457.80914687281228</v>
      </c>
      <c r="F8" s="3">
        <v>150</v>
      </c>
    </row>
    <row r="9" spans="1:7" x14ac:dyDescent="0.35">
      <c r="A9" s="1">
        <v>25</v>
      </c>
      <c r="B9">
        <f t="shared" si="0"/>
        <v>1.4605000000000002E-2</v>
      </c>
      <c r="D9" t="s">
        <v>0</v>
      </c>
      <c r="E9" s="3" t="s">
        <v>0</v>
      </c>
      <c r="F9" s="3"/>
    </row>
    <row r="10" spans="1:7" x14ac:dyDescent="0.35">
      <c r="A10" s="1">
        <v>124.3</v>
      </c>
      <c r="B10">
        <f t="shared" si="0"/>
        <v>5.0920600000000024E-3</v>
      </c>
      <c r="C10">
        <f>B11-B10</f>
        <v>9.5129399999999992E-3</v>
      </c>
      <c r="D10">
        <f>C10*800*44590-4.2*18*23*800*C10</f>
        <v>326112.71562239999</v>
      </c>
      <c r="E10" s="3">
        <f>D10/(497.6)</f>
        <v>655.37121306752408</v>
      </c>
      <c r="F10" s="3">
        <v>100</v>
      </c>
    </row>
    <row r="11" spans="1:7" x14ac:dyDescent="0.35">
      <c r="A11" s="1">
        <v>25</v>
      </c>
      <c r="B11">
        <f t="shared" si="0"/>
        <v>1.4605000000000002E-2</v>
      </c>
      <c r="D11" t="s">
        <v>0</v>
      </c>
      <c r="E11" s="3" t="s">
        <v>0</v>
      </c>
      <c r="F11" s="3"/>
    </row>
    <row r="12" spans="1:7" x14ac:dyDescent="0.35">
      <c r="A12" s="1">
        <v>124.3</v>
      </c>
      <c r="B12">
        <f t="shared" si="0"/>
        <v>5.0920600000000024E-3</v>
      </c>
      <c r="C12">
        <f>B13-B12</f>
        <v>9.5129399999999992E-3</v>
      </c>
      <c r="D12">
        <f>C12*600*44590-4.2*18*23*600*C12</f>
        <v>244584.53671679995</v>
      </c>
      <c r="E12" s="3">
        <f>D12/(292)</f>
        <v>837.61827642739706</v>
      </c>
      <c r="F12" s="3">
        <v>75</v>
      </c>
    </row>
    <row r="13" spans="1:7" x14ac:dyDescent="0.35">
      <c r="A13" s="1">
        <v>25</v>
      </c>
      <c r="B13">
        <f t="shared" si="0"/>
        <v>1.4605000000000002E-2</v>
      </c>
      <c r="D13" t="s">
        <v>0</v>
      </c>
      <c r="E13" s="3" t="s">
        <v>0</v>
      </c>
      <c r="F13" s="3"/>
    </row>
    <row r="14" spans="1:7" x14ac:dyDescent="0.35">
      <c r="A14" s="1">
        <v>124.3</v>
      </c>
      <c r="B14">
        <f t="shared" si="0"/>
        <v>5.0920600000000024E-3</v>
      </c>
      <c r="C14">
        <f>B15-B14</f>
        <v>9.5129399999999992E-3</v>
      </c>
      <c r="D14">
        <f>C14*480*44590-4.2*18*23*480*C14</f>
        <v>195667.62937344</v>
      </c>
      <c r="E14" s="3">
        <f>D14/(198)</f>
        <v>988.22035037090905</v>
      </c>
      <c r="F14" s="3">
        <v>60</v>
      </c>
    </row>
    <row r="15" spans="1:7" x14ac:dyDescent="0.35">
      <c r="A15" s="1">
        <v>25</v>
      </c>
      <c r="B15">
        <f t="shared" si="0"/>
        <v>1.4605000000000002E-2</v>
      </c>
      <c r="D15" t="s">
        <v>0</v>
      </c>
      <c r="E15" s="3" t="s">
        <v>0</v>
      </c>
      <c r="F15" s="3"/>
    </row>
    <row r="16" spans="1:7" x14ac:dyDescent="0.35">
      <c r="A16" s="1">
        <v>124.3</v>
      </c>
      <c r="B16">
        <f t="shared" si="0"/>
        <v>5.0920600000000024E-3</v>
      </c>
      <c r="C16">
        <f>B17-B16</f>
        <v>9.5129399999999992E-3</v>
      </c>
      <c r="D16">
        <f>C16*400*44590-4.2*18*23*400*C16</f>
        <v>163056.3578112</v>
      </c>
      <c r="E16" s="3">
        <f>D16/(150.6)</f>
        <v>1082.7115392509961</v>
      </c>
      <c r="F16" s="3">
        <v>50</v>
      </c>
    </row>
    <row r="17" spans="1:7" x14ac:dyDescent="0.35">
      <c r="A17" s="1">
        <v>25</v>
      </c>
      <c r="B17">
        <f t="shared" si="0"/>
        <v>1.4605000000000002E-2</v>
      </c>
      <c r="D17" t="s">
        <v>0</v>
      </c>
      <c r="E17" s="3" t="s">
        <v>0</v>
      </c>
      <c r="F17" s="3"/>
    </row>
    <row r="18" spans="1:7" x14ac:dyDescent="0.35">
      <c r="A18" s="1">
        <v>124.3</v>
      </c>
      <c r="B18">
        <f t="shared" si="0"/>
        <v>5.0920600000000024E-3</v>
      </c>
      <c r="C18">
        <f>B19-B18</f>
        <v>9.5129399999999992E-3</v>
      </c>
      <c r="D18">
        <f>C18*200*44590-4.2*18*23*200*C18</f>
        <v>81528.178905599998</v>
      </c>
      <c r="E18" s="3">
        <f>D18/(77.8)</f>
        <v>1047.9200373470437</v>
      </c>
      <c r="F18" s="3">
        <v>25</v>
      </c>
    </row>
    <row r="19" spans="1:7" x14ac:dyDescent="0.35">
      <c r="A19" s="1">
        <v>25</v>
      </c>
      <c r="B19">
        <f t="shared" si="0"/>
        <v>1.4605000000000002E-2</v>
      </c>
      <c r="D19" t="s">
        <v>0</v>
      </c>
      <c r="E19" s="3" t="s">
        <v>0</v>
      </c>
      <c r="F19" s="3"/>
    </row>
    <row r="20" spans="1:7" x14ac:dyDescent="0.35">
      <c r="A20" s="1">
        <v>124.3</v>
      </c>
      <c r="B20">
        <f t="shared" si="0"/>
        <v>5.0920600000000024E-3</v>
      </c>
      <c r="C20">
        <f>B21-B20</f>
        <v>9.5129399999999992E-3</v>
      </c>
      <c r="D20">
        <f>C20*160*44590-4.2*18*23*160*C20</f>
        <v>65222.543124479991</v>
      </c>
      <c r="E20" s="3">
        <f>D20/(71.5)</f>
        <v>912.20340034237745</v>
      </c>
      <c r="F20" s="3">
        <v>20</v>
      </c>
    </row>
    <row r="21" spans="1:7" x14ac:dyDescent="0.35">
      <c r="A21" s="1">
        <v>25</v>
      </c>
      <c r="B21">
        <f t="shared" si="0"/>
        <v>1.4605000000000002E-2</v>
      </c>
      <c r="D21" t="s">
        <v>0</v>
      </c>
      <c r="E21" s="3" t="s">
        <v>0</v>
      </c>
      <c r="F21" s="3"/>
    </row>
    <row r="22" spans="1:7" x14ac:dyDescent="0.35">
      <c r="A22" s="1">
        <v>124.3</v>
      </c>
      <c r="B22">
        <f t="shared" si="0"/>
        <v>5.0920600000000024E-3</v>
      </c>
      <c r="C22">
        <f>B23-B22</f>
        <v>9.5129399999999992E-3</v>
      </c>
      <c r="D22">
        <f>C22*240*44590-4.2*18*23*240*C22</f>
        <v>97833.814686719998</v>
      </c>
      <c r="E22" s="3">
        <f>D22/(86.7)</f>
        <v>1128.4177011155709</v>
      </c>
      <c r="F22" s="3">
        <v>30</v>
      </c>
    </row>
    <row r="23" spans="1:7" x14ac:dyDescent="0.35">
      <c r="A23" s="1">
        <v>25</v>
      </c>
      <c r="B23">
        <f t="shared" si="0"/>
        <v>1.4605000000000002E-2</v>
      </c>
      <c r="C23" t="s">
        <v>0</v>
      </c>
      <c r="D23" t="s">
        <v>0</v>
      </c>
      <c r="E23" s="3" t="s">
        <v>0</v>
      </c>
      <c r="F23" s="3"/>
    </row>
    <row r="24" spans="1:7" x14ac:dyDescent="0.35">
      <c r="A24" s="1">
        <v>124.3</v>
      </c>
      <c r="B24">
        <f t="shared" si="0"/>
        <v>5.0920600000000024E-3</v>
      </c>
      <c r="C24">
        <f t="shared" ref="C24:C26" si="1">B25-B24</f>
        <v>9.5129399999999992E-3</v>
      </c>
      <c r="D24">
        <f>C24*320*44590-4.2*18*23*320*C24</f>
        <v>130445.08624895998</v>
      </c>
      <c r="E24" s="3">
        <f>D24/(112.2)</f>
        <v>1162.6121769069516</v>
      </c>
      <c r="F24" s="3">
        <v>40</v>
      </c>
    </row>
    <row r="25" spans="1:7" x14ac:dyDescent="0.35">
      <c r="A25" s="1">
        <v>25</v>
      </c>
      <c r="B25">
        <f t="shared" si="0"/>
        <v>1.4605000000000002E-2</v>
      </c>
      <c r="C25" t="s">
        <v>0</v>
      </c>
      <c r="D25" t="s">
        <v>0</v>
      </c>
      <c r="E25" s="3" t="s">
        <v>0</v>
      </c>
      <c r="F25" s="3" t="s">
        <v>0</v>
      </c>
    </row>
    <row r="26" spans="1:7" x14ac:dyDescent="0.35">
      <c r="A26" s="1">
        <v>124.3</v>
      </c>
      <c r="B26">
        <f t="shared" si="0"/>
        <v>5.0920600000000024E-3</v>
      </c>
      <c r="C26">
        <f t="shared" si="1"/>
        <v>9.5129399999999992E-3</v>
      </c>
      <c r="D26">
        <f>C26*280*44590-4.2*18*23*280*C26</f>
        <v>114139.45046784</v>
      </c>
      <c r="E26" s="3">
        <f>D26/(97.8)</f>
        <v>1167.0700456834356</v>
      </c>
      <c r="F26" s="3">
        <v>35</v>
      </c>
    </row>
    <row r="27" spans="1:7" x14ac:dyDescent="0.35">
      <c r="A27" s="1">
        <v>25</v>
      </c>
      <c r="B27">
        <f t="shared" si="0"/>
        <v>1.4605000000000002E-2</v>
      </c>
      <c r="E27" s="3"/>
      <c r="F27" s="3"/>
      <c r="G27" t="s">
        <v>23</v>
      </c>
    </row>
    <row r="28" spans="1:7" x14ac:dyDescent="0.35">
      <c r="A28" s="1">
        <v>79.8</v>
      </c>
      <c r="B28">
        <f t="shared" si="0"/>
        <v>9.3551600000000013E-3</v>
      </c>
      <c r="C28">
        <f>B29-B28</f>
        <v>5.2498400000000004E-3</v>
      </c>
      <c r="D28">
        <f>C28*3200*44590-4.2*18*23*3200*C28</f>
        <v>719878.22018559999</v>
      </c>
      <c r="E28" s="3">
        <f>D28/(6298)</f>
        <v>114.30267071857732</v>
      </c>
      <c r="F28" s="3" t="s">
        <v>8</v>
      </c>
    </row>
    <row r="29" spans="1:7" x14ac:dyDescent="0.35">
      <c r="A29" s="1">
        <v>25</v>
      </c>
      <c r="B29">
        <f t="shared" si="0"/>
        <v>1.4605000000000002E-2</v>
      </c>
      <c r="C29" t="s">
        <v>0</v>
      </c>
      <c r="D29" t="s">
        <v>0</v>
      </c>
      <c r="E29" s="3" t="s">
        <v>0</v>
      </c>
      <c r="F29" s="3"/>
    </row>
    <row r="30" spans="1:7" x14ac:dyDescent="0.35">
      <c r="A30" s="1">
        <v>79.8</v>
      </c>
      <c r="B30">
        <f t="shared" si="0"/>
        <v>9.3551600000000013E-3</v>
      </c>
      <c r="C30">
        <f t="shared" ref="C30:C52" si="2">B31-B30</f>
        <v>5.2498400000000004E-3</v>
      </c>
      <c r="D30">
        <f>C30*2400*44590-4.2*18*23*2400*C30</f>
        <v>539908.66513920005</v>
      </c>
      <c r="E30" s="3">
        <f>D30/(3602)</f>
        <v>149.8913562296502</v>
      </c>
      <c r="F30" s="3">
        <v>300</v>
      </c>
    </row>
    <row r="31" spans="1:7" x14ac:dyDescent="0.35">
      <c r="A31" s="2">
        <v>25</v>
      </c>
      <c r="B31">
        <f t="shared" si="0"/>
        <v>1.4605000000000002E-2</v>
      </c>
      <c r="C31" t="s">
        <v>0</v>
      </c>
      <c r="D31" t="s">
        <v>0</v>
      </c>
      <c r="E31" s="3" t="s">
        <v>0</v>
      </c>
      <c r="F31" s="3"/>
    </row>
    <row r="32" spans="1:7" x14ac:dyDescent="0.35">
      <c r="A32" s="1">
        <v>79.8</v>
      </c>
      <c r="B32">
        <f t="shared" si="0"/>
        <v>9.3551600000000013E-3</v>
      </c>
      <c r="C32">
        <f t="shared" si="2"/>
        <v>5.2498400000000004E-3</v>
      </c>
      <c r="D32">
        <f>C32*1600*44590-4.2*18*23*1600*C32</f>
        <v>359939.11009279999</v>
      </c>
      <c r="E32" s="3">
        <f>D32/(1665)</f>
        <v>216.17964570138139</v>
      </c>
      <c r="F32" s="3">
        <v>200</v>
      </c>
    </row>
    <row r="33" spans="1:6" x14ac:dyDescent="0.35">
      <c r="A33" s="2">
        <v>25</v>
      </c>
      <c r="B33">
        <f t="shared" si="0"/>
        <v>1.4605000000000002E-2</v>
      </c>
      <c r="C33" t="s">
        <v>0</v>
      </c>
      <c r="D33" t="s">
        <v>0</v>
      </c>
      <c r="E33" s="3" t="s">
        <v>0</v>
      </c>
      <c r="F33" s="3"/>
    </row>
    <row r="34" spans="1:6" x14ac:dyDescent="0.35">
      <c r="A34" s="1">
        <v>79.8</v>
      </c>
      <c r="B34">
        <f t="shared" si="0"/>
        <v>9.3551600000000013E-3</v>
      </c>
      <c r="C34">
        <f t="shared" si="2"/>
        <v>5.2498400000000004E-3</v>
      </c>
      <c r="D34">
        <f>C34*1200*44590-4.2*18*23*1200*C34</f>
        <v>269954.33256960002</v>
      </c>
      <c r="E34" s="3">
        <f>D34/(959)</f>
        <v>281.49565440000003</v>
      </c>
      <c r="F34" s="3">
        <v>150</v>
      </c>
    </row>
    <row r="35" spans="1:6" x14ac:dyDescent="0.35">
      <c r="A35" s="2">
        <v>25</v>
      </c>
      <c r="B35">
        <f t="shared" si="0"/>
        <v>1.4605000000000002E-2</v>
      </c>
      <c r="C35" t="s">
        <v>0</v>
      </c>
      <c r="D35" t="s">
        <v>0</v>
      </c>
      <c r="E35" s="3" t="s">
        <v>0</v>
      </c>
      <c r="F35" s="3"/>
    </row>
    <row r="36" spans="1:6" x14ac:dyDescent="0.35">
      <c r="A36" s="1">
        <v>79.8</v>
      </c>
      <c r="B36">
        <f t="shared" si="0"/>
        <v>9.3551600000000013E-3</v>
      </c>
      <c r="C36">
        <f t="shared" si="2"/>
        <v>5.2498400000000004E-3</v>
      </c>
      <c r="D36">
        <f>C36*800*44590-4.2*18*23*800*C36</f>
        <v>179969.5550464</v>
      </c>
      <c r="E36" s="3">
        <f>D36/(448)</f>
        <v>401.71775680000002</v>
      </c>
      <c r="F36" s="3">
        <v>100</v>
      </c>
    </row>
    <row r="37" spans="1:6" x14ac:dyDescent="0.35">
      <c r="A37" s="2">
        <v>25</v>
      </c>
      <c r="B37">
        <f t="shared" si="0"/>
        <v>1.4605000000000002E-2</v>
      </c>
      <c r="C37" t="s">
        <v>0</v>
      </c>
      <c r="D37" t="s">
        <v>0</v>
      </c>
      <c r="E37" s="3" t="s">
        <v>0</v>
      </c>
      <c r="F37" s="3"/>
    </row>
    <row r="38" spans="1:6" x14ac:dyDescent="0.35">
      <c r="A38" s="1">
        <v>79.8</v>
      </c>
      <c r="B38">
        <f t="shared" si="0"/>
        <v>9.3551600000000013E-3</v>
      </c>
      <c r="C38">
        <f t="shared" si="2"/>
        <v>5.2498400000000004E-3</v>
      </c>
      <c r="D38">
        <f>C38*600*44590-4.2*18*23*600*C38</f>
        <v>134977.16628480001</v>
      </c>
      <c r="E38" s="3">
        <f>D38/(263.6)</f>
        <v>512.05298287101664</v>
      </c>
      <c r="F38" s="3">
        <v>75</v>
      </c>
    </row>
    <row r="39" spans="1:6" x14ac:dyDescent="0.35">
      <c r="A39" s="2">
        <v>25</v>
      </c>
      <c r="B39">
        <f t="shared" si="0"/>
        <v>1.4605000000000002E-2</v>
      </c>
      <c r="C39" t="s">
        <v>0</v>
      </c>
      <c r="D39" t="s">
        <v>0</v>
      </c>
      <c r="E39" s="3" t="s">
        <v>0</v>
      </c>
      <c r="F39" s="3"/>
    </row>
    <row r="40" spans="1:6" x14ac:dyDescent="0.35">
      <c r="A40" s="1">
        <v>79.8</v>
      </c>
      <c r="B40">
        <f t="shared" si="0"/>
        <v>9.3551600000000013E-3</v>
      </c>
      <c r="C40">
        <f t="shared" si="2"/>
        <v>5.2498400000000004E-3</v>
      </c>
      <c r="D40">
        <f>C40*480*44590-4.2*18*23*480*C40</f>
        <v>107981.73302784</v>
      </c>
      <c r="E40" s="3">
        <f>D40/(180.5)</f>
        <v>598.23674807667589</v>
      </c>
      <c r="F40" s="3">
        <v>60</v>
      </c>
    </row>
    <row r="41" spans="1:6" x14ac:dyDescent="0.35">
      <c r="A41">
        <v>25</v>
      </c>
      <c r="B41">
        <f t="shared" si="0"/>
        <v>1.4605000000000002E-2</v>
      </c>
      <c r="C41" t="s">
        <v>0</v>
      </c>
      <c r="D41" t="s">
        <v>0</v>
      </c>
      <c r="E41" s="3" t="s">
        <v>0</v>
      </c>
      <c r="F41" s="3"/>
    </row>
    <row r="42" spans="1:6" x14ac:dyDescent="0.35">
      <c r="A42" s="1">
        <v>79.8</v>
      </c>
      <c r="B42">
        <f t="shared" si="0"/>
        <v>9.3551600000000013E-3</v>
      </c>
      <c r="C42">
        <f t="shared" si="2"/>
        <v>5.2498400000000004E-3</v>
      </c>
      <c r="D42">
        <f>C42*400*44590-4.2*18*23*400*C42</f>
        <v>89984.777523199999</v>
      </c>
      <c r="E42" s="3">
        <f>D42/(137.3)</f>
        <v>655.38803731391113</v>
      </c>
      <c r="F42" s="3">
        <v>50</v>
      </c>
    </row>
    <row r="43" spans="1:6" x14ac:dyDescent="0.35">
      <c r="A43">
        <v>25</v>
      </c>
      <c r="B43">
        <f t="shared" si="0"/>
        <v>1.4605000000000002E-2</v>
      </c>
      <c r="C43" t="s">
        <v>0</v>
      </c>
      <c r="D43" t="s">
        <v>0</v>
      </c>
      <c r="E43" s="3" t="s">
        <v>0</v>
      </c>
      <c r="F43" s="3"/>
    </row>
    <row r="44" spans="1:6" x14ac:dyDescent="0.35">
      <c r="A44" s="1">
        <v>79.8</v>
      </c>
      <c r="B44">
        <f t="shared" si="0"/>
        <v>9.3551600000000013E-3</v>
      </c>
      <c r="C44">
        <f t="shared" si="2"/>
        <v>5.2498400000000004E-3</v>
      </c>
      <c r="D44">
        <f>C44*200*44590-4.2*18*23*200*C44</f>
        <v>44992.388761599999</v>
      </c>
      <c r="E44" s="3">
        <f>D44/(68.4)</f>
        <v>657.78346142690054</v>
      </c>
      <c r="F44" s="3">
        <v>25</v>
      </c>
    </row>
    <row r="45" spans="1:6" x14ac:dyDescent="0.35">
      <c r="A45">
        <v>25</v>
      </c>
      <c r="B45">
        <f t="shared" si="0"/>
        <v>1.4605000000000002E-2</v>
      </c>
      <c r="C45" t="s">
        <v>0</v>
      </c>
      <c r="D45" t="s">
        <v>0</v>
      </c>
      <c r="E45" s="3" t="s">
        <v>0</v>
      </c>
      <c r="F45" s="3"/>
    </row>
    <row r="46" spans="1:6" x14ac:dyDescent="0.35">
      <c r="A46" s="1">
        <v>79.8</v>
      </c>
      <c r="B46">
        <f t="shared" si="0"/>
        <v>9.3551600000000013E-3</v>
      </c>
      <c r="C46">
        <f t="shared" si="2"/>
        <v>5.2498400000000004E-3</v>
      </c>
      <c r="D46">
        <f>C46*160*44590-4.2*18*23*160*C46</f>
        <v>35993.911009279997</v>
      </c>
      <c r="E46" s="3">
        <f>D46/61.8</f>
        <v>582.42574448673133</v>
      </c>
      <c r="F46" s="3">
        <v>20</v>
      </c>
    </row>
    <row r="47" spans="1:6" x14ac:dyDescent="0.35">
      <c r="A47">
        <v>25</v>
      </c>
      <c r="B47">
        <f t="shared" si="0"/>
        <v>1.4605000000000002E-2</v>
      </c>
      <c r="C47" t="s">
        <v>0</v>
      </c>
      <c r="D47" t="s">
        <v>0</v>
      </c>
      <c r="E47" s="3" t="s">
        <v>0</v>
      </c>
      <c r="F47" s="3"/>
    </row>
    <row r="48" spans="1:6" x14ac:dyDescent="0.35">
      <c r="A48" s="1">
        <v>79.8</v>
      </c>
      <c r="B48">
        <f t="shared" si="0"/>
        <v>9.3551600000000013E-3</v>
      </c>
      <c r="C48">
        <f t="shared" si="2"/>
        <v>5.2498400000000004E-3</v>
      </c>
      <c r="D48">
        <f>C48*240*44590-4.2*18*23*240*C48</f>
        <v>53990.866513920002</v>
      </c>
      <c r="E48" s="3">
        <f>D48/(76.5)</f>
        <v>705.76296096627459</v>
      </c>
      <c r="F48" s="3">
        <v>30</v>
      </c>
    </row>
    <row r="49" spans="1:7" x14ac:dyDescent="0.35">
      <c r="A49">
        <v>25</v>
      </c>
      <c r="B49">
        <f t="shared" si="0"/>
        <v>1.4605000000000002E-2</v>
      </c>
      <c r="C49" t="s">
        <v>0</v>
      </c>
      <c r="D49" t="s">
        <v>0</v>
      </c>
      <c r="E49" s="3" t="s">
        <v>0</v>
      </c>
      <c r="F49" s="3"/>
    </row>
    <row r="50" spans="1:7" x14ac:dyDescent="0.35">
      <c r="A50" s="1">
        <v>79.8</v>
      </c>
      <c r="B50">
        <f t="shared" si="0"/>
        <v>9.3551600000000013E-3</v>
      </c>
      <c r="C50">
        <f t="shared" si="2"/>
        <v>5.2498400000000004E-3</v>
      </c>
      <c r="D50">
        <f>C50*320*44590-4.2*18*23*320*C50</f>
        <v>71987.822018559993</v>
      </c>
      <c r="E50" s="3">
        <f>D50/(101.4)</f>
        <v>709.93907316134107</v>
      </c>
      <c r="F50" s="3">
        <v>40</v>
      </c>
    </row>
    <row r="51" spans="1:7" x14ac:dyDescent="0.35">
      <c r="A51">
        <v>25</v>
      </c>
      <c r="B51">
        <f t="shared" si="0"/>
        <v>1.4605000000000002E-2</v>
      </c>
      <c r="C51" t="s">
        <v>0</v>
      </c>
      <c r="D51" t="s">
        <v>0</v>
      </c>
      <c r="E51" s="3" t="s">
        <v>0</v>
      </c>
      <c r="F51" s="3"/>
    </row>
    <row r="52" spans="1:7" x14ac:dyDescent="0.35">
      <c r="A52" s="1">
        <v>79.8</v>
      </c>
      <c r="B52">
        <f t="shared" si="0"/>
        <v>9.3551600000000013E-3</v>
      </c>
      <c r="C52">
        <f t="shared" si="2"/>
        <v>5.2498400000000004E-3</v>
      </c>
      <c r="D52">
        <f>C52*280*44590-4.2*18*23*280*C52</f>
        <v>62989.344266240005</v>
      </c>
      <c r="E52" s="3">
        <f>D52/(88.6)</f>
        <v>710.94068020586917</v>
      </c>
      <c r="F52" s="3">
        <v>35</v>
      </c>
    </row>
    <row r="53" spans="1:7" x14ac:dyDescent="0.35">
      <c r="A53">
        <v>25</v>
      </c>
      <c r="B53">
        <f t="shared" si="0"/>
        <v>1.4605000000000002E-2</v>
      </c>
      <c r="E53" s="3"/>
      <c r="F53" s="3"/>
      <c r="G53" t="s">
        <v>25</v>
      </c>
    </row>
    <row r="54" spans="1:7" x14ac:dyDescent="0.35">
      <c r="A54" s="1">
        <v>124.3</v>
      </c>
      <c r="B54">
        <f t="shared" si="0"/>
        <v>5.0920600000000024E-3</v>
      </c>
      <c r="C54">
        <f>B55-B54</f>
        <v>9.5129399999999992E-3</v>
      </c>
      <c r="D54">
        <f>C54*3200*44590-4.2*18*23*3200*C54</f>
        <v>1304450.8624896</v>
      </c>
      <c r="E54" s="3">
        <f>D54/(1848)</f>
        <v>705.87167883636357</v>
      </c>
      <c r="F54" s="3" t="s">
        <v>8</v>
      </c>
    </row>
    <row r="55" spans="1:7" x14ac:dyDescent="0.35">
      <c r="A55" s="1">
        <v>25</v>
      </c>
      <c r="B55">
        <f t="shared" si="0"/>
        <v>1.4605000000000002E-2</v>
      </c>
      <c r="D55" t="s">
        <v>0</v>
      </c>
      <c r="E55" s="3" t="s">
        <v>0</v>
      </c>
      <c r="F55" s="3"/>
    </row>
    <row r="56" spans="1:7" x14ac:dyDescent="0.35">
      <c r="A56" s="1">
        <v>124.3</v>
      </c>
      <c r="B56">
        <f t="shared" si="0"/>
        <v>5.0920600000000024E-3</v>
      </c>
      <c r="C56">
        <f>B57-B56</f>
        <v>9.5129399999999992E-3</v>
      </c>
      <c r="D56">
        <f>C56*2400*44590-4.2*18*23*2400*C56</f>
        <v>978338.1468671998</v>
      </c>
      <c r="E56" s="3">
        <f>D56/(1085)</f>
        <v>901.69414457806431</v>
      </c>
      <c r="F56" s="3">
        <v>300</v>
      </c>
    </row>
    <row r="57" spans="1:7" x14ac:dyDescent="0.35">
      <c r="A57" s="1">
        <v>25</v>
      </c>
      <c r="B57">
        <f t="shared" si="0"/>
        <v>1.4605000000000002E-2</v>
      </c>
      <c r="D57" t="s">
        <v>0</v>
      </c>
      <c r="E57" s="3" t="s">
        <v>0</v>
      </c>
      <c r="F57" s="3"/>
    </row>
    <row r="58" spans="1:7" x14ac:dyDescent="0.35">
      <c r="A58" s="1">
        <v>124.3</v>
      </c>
      <c r="B58">
        <f t="shared" si="0"/>
        <v>5.0920600000000024E-3</v>
      </c>
      <c r="C58">
        <f>B59-B58</f>
        <v>9.5129399999999992E-3</v>
      </c>
      <c r="D58">
        <f>C58*1600*44590-4.2*18*23*1600*C58</f>
        <v>652225.43124479998</v>
      </c>
      <c r="E58" s="3">
        <f>D58/(512.2)</f>
        <v>1273.380381188598</v>
      </c>
      <c r="F58" s="3">
        <v>200</v>
      </c>
    </row>
    <row r="59" spans="1:7" x14ac:dyDescent="0.35">
      <c r="A59" s="1">
        <v>25</v>
      </c>
      <c r="B59">
        <f t="shared" si="0"/>
        <v>1.4605000000000002E-2</v>
      </c>
      <c r="D59" t="s">
        <v>0</v>
      </c>
      <c r="E59" s="3" t="s">
        <v>0</v>
      </c>
      <c r="F59" s="3"/>
    </row>
    <row r="60" spans="1:7" x14ac:dyDescent="0.35">
      <c r="A60" s="1">
        <v>124.3</v>
      </c>
      <c r="B60">
        <f t="shared" si="0"/>
        <v>5.0920600000000024E-3</v>
      </c>
      <c r="C60">
        <f>B61-B60</f>
        <v>9.5129399999999992E-3</v>
      </c>
      <c r="D60">
        <f>C60*1200*44590-4.2*18*23*1200*C60</f>
        <v>489169.0734335999</v>
      </c>
      <c r="E60" s="3">
        <f>D60/(306)</f>
        <v>1598.5917432470585</v>
      </c>
      <c r="F60" s="3">
        <v>150</v>
      </c>
    </row>
    <row r="61" spans="1:7" x14ac:dyDescent="0.35">
      <c r="A61" s="1">
        <v>25</v>
      </c>
      <c r="B61">
        <f t="shared" si="0"/>
        <v>1.4605000000000002E-2</v>
      </c>
      <c r="D61" t="s">
        <v>0</v>
      </c>
      <c r="E61" s="3" t="s">
        <v>0</v>
      </c>
      <c r="F61" s="3"/>
    </row>
    <row r="62" spans="1:7" x14ac:dyDescent="0.35">
      <c r="A62" s="1">
        <v>124.3</v>
      </c>
      <c r="B62">
        <f t="shared" si="0"/>
        <v>5.0920600000000024E-3</v>
      </c>
      <c r="C62">
        <f>B63-B62</f>
        <v>9.5129399999999992E-3</v>
      </c>
      <c r="D62">
        <f>C62*800*44590-4.2*18*23*800*C62</f>
        <v>326112.71562239999</v>
      </c>
      <c r="E62" s="3">
        <f>D62/(163.5)</f>
        <v>1994.5731842348623</v>
      </c>
      <c r="F62" s="3">
        <v>100</v>
      </c>
    </row>
    <row r="63" spans="1:7" x14ac:dyDescent="0.35">
      <c r="A63" s="1">
        <v>25</v>
      </c>
      <c r="B63">
        <f t="shared" si="0"/>
        <v>1.4605000000000002E-2</v>
      </c>
      <c r="D63" t="s">
        <v>0</v>
      </c>
      <c r="E63" s="3" t="s">
        <v>0</v>
      </c>
      <c r="F63" s="3"/>
    </row>
    <row r="64" spans="1:7" x14ac:dyDescent="0.35">
      <c r="A64" s="1">
        <v>124.3</v>
      </c>
      <c r="B64">
        <f t="shared" si="0"/>
        <v>5.0920600000000024E-3</v>
      </c>
      <c r="C64">
        <f>B65-B64</f>
        <v>9.5129399999999992E-3</v>
      </c>
      <c r="D64">
        <f>C64*600*44590-4.2*18*23*600*C64</f>
        <v>244584.53671679995</v>
      </c>
      <c r="E64" s="3">
        <f>D64/(116.4)</f>
        <v>2101.2417243711334</v>
      </c>
      <c r="F64" s="3">
        <v>75</v>
      </c>
    </row>
    <row r="65" spans="1:7" x14ac:dyDescent="0.35">
      <c r="A65" s="1">
        <v>25</v>
      </c>
      <c r="B65">
        <f t="shared" si="0"/>
        <v>1.4605000000000002E-2</v>
      </c>
      <c r="D65" t="s">
        <v>0</v>
      </c>
      <c r="E65" s="3" t="s">
        <v>0</v>
      </c>
      <c r="F65" s="3"/>
    </row>
    <row r="66" spans="1:7" x14ac:dyDescent="0.35">
      <c r="A66" s="1">
        <v>124.3</v>
      </c>
      <c r="B66">
        <f t="shared" si="0"/>
        <v>5.0920600000000024E-3</v>
      </c>
      <c r="C66">
        <f>B67-B66</f>
        <v>9.5129399999999992E-3</v>
      </c>
      <c r="D66">
        <f>C66*480*44590-4.2*18*23*480*C66</f>
        <v>195667.62937344</v>
      </c>
      <c r="E66" s="3">
        <f>D66/(95.4)</f>
        <v>2051.0233686943393</v>
      </c>
      <c r="F66" s="3">
        <v>60</v>
      </c>
    </row>
    <row r="67" spans="1:7" x14ac:dyDescent="0.35">
      <c r="A67" s="1">
        <v>25</v>
      </c>
      <c r="B67">
        <f t="shared" ref="B67:B105" si="3">0.017-0.0000958*A67</f>
        <v>1.4605000000000002E-2</v>
      </c>
      <c r="D67" t="s">
        <v>0</v>
      </c>
      <c r="E67" s="3" t="s">
        <v>0</v>
      </c>
      <c r="F67" s="3"/>
    </row>
    <row r="68" spans="1:7" x14ac:dyDescent="0.35">
      <c r="A68" s="1">
        <v>124.3</v>
      </c>
      <c r="B68">
        <f t="shared" si="3"/>
        <v>5.0920600000000024E-3</v>
      </c>
      <c r="C68">
        <f>B69-B68</f>
        <v>9.5129399999999992E-3</v>
      </c>
      <c r="D68">
        <f>C68*400*44590-4.2*18*23*400*C68</f>
        <v>163056.3578112</v>
      </c>
      <c r="E68" s="3">
        <f>D68/(84.8)</f>
        <v>1922.8344081509433</v>
      </c>
      <c r="F68" s="3">
        <v>50</v>
      </c>
    </row>
    <row r="69" spans="1:7" x14ac:dyDescent="0.35">
      <c r="A69" s="1">
        <v>25</v>
      </c>
      <c r="B69">
        <f t="shared" si="3"/>
        <v>1.4605000000000002E-2</v>
      </c>
      <c r="D69" t="s">
        <v>0</v>
      </c>
      <c r="E69" s="3" t="s">
        <v>0</v>
      </c>
      <c r="F69" s="3"/>
    </row>
    <row r="70" spans="1:7" x14ac:dyDescent="0.35">
      <c r="A70" s="1">
        <v>124.3</v>
      </c>
      <c r="B70">
        <f t="shared" si="3"/>
        <v>5.0920600000000024E-3</v>
      </c>
      <c r="C70">
        <f>B71-B70</f>
        <v>9.5129399999999992E-3</v>
      </c>
      <c r="D70">
        <f>C70*200*44590-4.2*18*23*200*C70</f>
        <v>81528.178905599998</v>
      </c>
      <c r="E70" s="3">
        <f>D70/(68.5)</f>
        <v>1190.1923927824816</v>
      </c>
      <c r="F70" s="3">
        <v>25</v>
      </c>
    </row>
    <row r="71" spans="1:7" x14ac:dyDescent="0.35">
      <c r="A71" s="1">
        <v>25</v>
      </c>
      <c r="B71">
        <f t="shared" si="3"/>
        <v>1.4605000000000002E-2</v>
      </c>
      <c r="D71" t="s">
        <v>0</v>
      </c>
      <c r="E71" s="3" t="s">
        <v>0</v>
      </c>
      <c r="F71" s="3"/>
    </row>
    <row r="72" spans="1:7" x14ac:dyDescent="0.35">
      <c r="A72" s="1">
        <v>124.3</v>
      </c>
      <c r="B72">
        <f t="shared" si="3"/>
        <v>5.0920600000000024E-3</v>
      </c>
      <c r="C72">
        <f>B73-B72</f>
        <v>9.5129399999999992E-3</v>
      </c>
      <c r="D72">
        <f>C72*160*44590-4.2*18*23*160*C72</f>
        <v>65222.543124479991</v>
      </c>
      <c r="E72" s="3">
        <f>D72/(66)</f>
        <v>988.22035037090893</v>
      </c>
      <c r="F72" s="3">
        <v>20</v>
      </c>
    </row>
    <row r="73" spans="1:7" x14ac:dyDescent="0.35">
      <c r="A73" s="1">
        <v>25</v>
      </c>
      <c r="B73">
        <f t="shared" si="3"/>
        <v>1.4605000000000002E-2</v>
      </c>
      <c r="D73" t="s">
        <v>0</v>
      </c>
      <c r="E73" s="3" t="s">
        <v>0</v>
      </c>
      <c r="F73" s="3"/>
    </row>
    <row r="74" spans="1:7" x14ac:dyDescent="0.35">
      <c r="A74" s="1">
        <v>124.3</v>
      </c>
      <c r="B74">
        <f t="shared" si="3"/>
        <v>5.0920600000000024E-3</v>
      </c>
      <c r="C74">
        <f>B75-B74</f>
        <v>9.5129399999999992E-3</v>
      </c>
      <c r="D74">
        <f>C74*240*44590-4.2*18*23*240*C74</f>
        <v>97833.814686719998</v>
      </c>
      <c r="E74" s="3">
        <f>D74/(71.1)</f>
        <v>1376.0030195037975</v>
      </c>
      <c r="F74" s="3">
        <v>30</v>
      </c>
    </row>
    <row r="75" spans="1:7" x14ac:dyDescent="0.35">
      <c r="A75" s="1">
        <v>25</v>
      </c>
      <c r="B75">
        <f t="shared" si="3"/>
        <v>1.4605000000000002E-2</v>
      </c>
      <c r="C75" t="s">
        <v>0</v>
      </c>
      <c r="D75" t="s">
        <v>0</v>
      </c>
      <c r="E75" s="3" t="s">
        <v>0</v>
      </c>
      <c r="F75" s="3"/>
    </row>
    <row r="76" spans="1:7" x14ac:dyDescent="0.35">
      <c r="A76" s="1">
        <v>124.3</v>
      </c>
      <c r="B76">
        <f t="shared" si="3"/>
        <v>5.0920600000000024E-3</v>
      </c>
      <c r="C76">
        <f t="shared" ref="C76" si="4">B77-B76</f>
        <v>9.5129399999999992E-3</v>
      </c>
      <c r="D76">
        <f>C76*560*44590-4.2*18*23*560*C76</f>
        <v>228278.90093567999</v>
      </c>
      <c r="E76" s="3">
        <f>D76/(108.5)</f>
        <v>2103.9530040154837</v>
      </c>
      <c r="F76" s="3">
        <v>70</v>
      </c>
    </row>
    <row r="77" spans="1:7" x14ac:dyDescent="0.35">
      <c r="A77" s="1">
        <v>25</v>
      </c>
      <c r="B77">
        <f t="shared" si="3"/>
        <v>1.4605000000000002E-2</v>
      </c>
      <c r="E77" s="3"/>
      <c r="F77" s="3"/>
    </row>
    <row r="78" spans="1:7" x14ac:dyDescent="0.35">
      <c r="B78" t="s">
        <v>0</v>
      </c>
      <c r="E78" s="3"/>
      <c r="F78" s="3"/>
    </row>
    <row r="79" spans="1:7" x14ac:dyDescent="0.35">
      <c r="B79" t="s">
        <v>0</v>
      </c>
      <c r="E79" s="3"/>
      <c r="F79" s="3"/>
    </row>
    <row r="80" spans="1:7" x14ac:dyDescent="0.35">
      <c r="A80" s="1">
        <v>79.8</v>
      </c>
      <c r="B80">
        <f t="shared" si="3"/>
        <v>9.3551600000000013E-3</v>
      </c>
      <c r="C80">
        <f>B81-B80</f>
        <v>5.2498400000000004E-3</v>
      </c>
      <c r="D80">
        <f>C80*3200*44590-4.2*18*23*3200*C80</f>
        <v>719878.22018559999</v>
      </c>
      <c r="E80" s="3">
        <f>D80/(1668)</f>
        <v>431.58166677793764</v>
      </c>
      <c r="F80" s="3" t="s">
        <v>8</v>
      </c>
      <c r="G80" t="s">
        <v>24</v>
      </c>
    </row>
    <row r="81" spans="1:6" x14ac:dyDescent="0.35">
      <c r="A81" s="1">
        <v>25</v>
      </c>
      <c r="B81">
        <f t="shared" si="3"/>
        <v>1.4605000000000002E-2</v>
      </c>
      <c r="C81" t="s">
        <v>0</v>
      </c>
      <c r="D81" t="s">
        <v>0</v>
      </c>
      <c r="E81" s="3" t="s">
        <v>0</v>
      </c>
      <c r="F81" s="3"/>
    </row>
    <row r="82" spans="1:6" x14ac:dyDescent="0.35">
      <c r="A82" s="1">
        <v>79.8</v>
      </c>
      <c r="B82">
        <f t="shared" si="3"/>
        <v>9.3551600000000013E-3</v>
      </c>
      <c r="C82">
        <f t="shared" ref="C82:C104" si="5">B83-B82</f>
        <v>5.2498400000000004E-3</v>
      </c>
      <c r="D82">
        <f>C82*2400*44590-4.2*18*23*2400*C82</f>
        <v>539908.66513920005</v>
      </c>
      <c r="E82" s="3">
        <f>D82/(979.2)</f>
        <v>551.37731325490199</v>
      </c>
      <c r="F82" s="3">
        <v>300</v>
      </c>
    </row>
    <row r="83" spans="1:6" x14ac:dyDescent="0.35">
      <c r="A83" s="2">
        <v>25</v>
      </c>
      <c r="B83">
        <f t="shared" si="3"/>
        <v>1.4605000000000002E-2</v>
      </c>
      <c r="C83" t="s">
        <v>0</v>
      </c>
      <c r="D83" t="s">
        <v>0</v>
      </c>
      <c r="E83" s="3" t="s">
        <v>0</v>
      </c>
      <c r="F83" s="3"/>
    </row>
    <row r="84" spans="1:6" x14ac:dyDescent="0.35">
      <c r="A84" s="1">
        <v>79.8</v>
      </c>
      <c r="B84">
        <f t="shared" si="3"/>
        <v>9.3551600000000013E-3</v>
      </c>
      <c r="C84">
        <f t="shared" si="5"/>
        <v>5.2498400000000004E-3</v>
      </c>
      <c r="D84">
        <f>C84*1600*44590-4.2*18*23*1600*C84</f>
        <v>359939.11009279999</v>
      </c>
      <c r="E84" s="3">
        <f>D84/(463.4)</f>
        <v>776.73523973413899</v>
      </c>
      <c r="F84" s="3">
        <v>200</v>
      </c>
    </row>
    <row r="85" spans="1:6" x14ac:dyDescent="0.35">
      <c r="A85" s="2">
        <v>25</v>
      </c>
      <c r="B85">
        <f t="shared" si="3"/>
        <v>1.4605000000000002E-2</v>
      </c>
      <c r="C85" t="s">
        <v>0</v>
      </c>
      <c r="D85" t="s">
        <v>0</v>
      </c>
      <c r="E85" s="3" t="s">
        <v>0</v>
      </c>
      <c r="F85" s="3"/>
    </row>
    <row r="86" spans="1:6" x14ac:dyDescent="0.35">
      <c r="A86" s="1">
        <v>79.8</v>
      </c>
      <c r="B86">
        <f t="shared" si="3"/>
        <v>9.3551600000000013E-3</v>
      </c>
      <c r="C86">
        <f t="shared" si="5"/>
        <v>5.2498400000000004E-3</v>
      </c>
      <c r="D86">
        <f>C86*1200*44590-4.2*18*23*1200*C86</f>
        <v>269954.33256960002</v>
      </c>
      <c r="E86" s="3">
        <f>D86/(279.5)</f>
        <v>965.84734371949924</v>
      </c>
      <c r="F86" s="3">
        <v>150</v>
      </c>
    </row>
    <row r="87" spans="1:6" x14ac:dyDescent="0.35">
      <c r="A87" s="2">
        <v>25</v>
      </c>
      <c r="B87">
        <f t="shared" si="3"/>
        <v>1.4605000000000002E-2</v>
      </c>
      <c r="C87" t="s">
        <v>0</v>
      </c>
      <c r="D87" t="s">
        <v>0</v>
      </c>
      <c r="E87" s="3" t="s">
        <v>0</v>
      </c>
      <c r="F87" s="3"/>
    </row>
    <row r="88" spans="1:6" x14ac:dyDescent="0.35">
      <c r="A88" s="1">
        <v>79.8</v>
      </c>
      <c r="B88">
        <f t="shared" si="3"/>
        <v>9.3551600000000013E-3</v>
      </c>
      <c r="C88">
        <f t="shared" si="5"/>
        <v>5.2498400000000004E-3</v>
      </c>
      <c r="D88">
        <f>C88*800*44590-4.2*18*23*800*C88</f>
        <v>179969.5550464</v>
      </c>
      <c r="E88" s="3">
        <f>D88/(148.8)</f>
        <v>1209.4728161720429</v>
      </c>
      <c r="F88" s="3">
        <v>100</v>
      </c>
    </row>
    <row r="89" spans="1:6" x14ac:dyDescent="0.35">
      <c r="A89" s="2">
        <v>25</v>
      </c>
      <c r="B89">
        <f t="shared" si="3"/>
        <v>1.4605000000000002E-2</v>
      </c>
      <c r="C89" t="s">
        <v>0</v>
      </c>
      <c r="D89" t="s">
        <v>0</v>
      </c>
      <c r="E89" s="3" t="s">
        <v>0</v>
      </c>
      <c r="F89" s="3"/>
    </row>
    <row r="90" spans="1:6" x14ac:dyDescent="0.35">
      <c r="A90" s="1">
        <v>79.8</v>
      </c>
      <c r="B90">
        <f t="shared" si="3"/>
        <v>9.3551600000000013E-3</v>
      </c>
      <c r="C90">
        <f t="shared" si="5"/>
        <v>5.2498400000000004E-3</v>
      </c>
      <c r="D90">
        <f>C90*600*44590-4.2*18*23*600*C90</f>
        <v>134977.16628480001</v>
      </c>
      <c r="E90" s="3">
        <f>D90/(103.5)</f>
        <v>1304.1272104811596</v>
      </c>
      <c r="F90" s="3">
        <v>75</v>
      </c>
    </row>
    <row r="91" spans="1:6" x14ac:dyDescent="0.35">
      <c r="A91" s="2">
        <v>25</v>
      </c>
      <c r="B91">
        <f t="shared" si="3"/>
        <v>1.4605000000000002E-2</v>
      </c>
      <c r="C91" t="s">
        <v>0</v>
      </c>
      <c r="D91" t="s">
        <v>0</v>
      </c>
      <c r="E91" s="3" t="s">
        <v>0</v>
      </c>
      <c r="F91" s="3"/>
    </row>
    <row r="92" spans="1:6" x14ac:dyDescent="0.35">
      <c r="A92" s="1">
        <v>79.8</v>
      </c>
      <c r="B92">
        <f t="shared" si="3"/>
        <v>9.3551600000000013E-3</v>
      </c>
      <c r="C92">
        <f t="shared" si="5"/>
        <v>5.2498400000000004E-3</v>
      </c>
      <c r="D92">
        <f>C92*480*44590-4.2*18*23*480*C92</f>
        <v>107981.73302784</v>
      </c>
      <c r="E92" s="3">
        <f>D92/(83.9)</f>
        <v>1287.0289991399284</v>
      </c>
      <c r="F92" s="3">
        <v>60</v>
      </c>
    </row>
    <row r="93" spans="1:6" x14ac:dyDescent="0.35">
      <c r="A93">
        <v>25</v>
      </c>
      <c r="B93">
        <f t="shared" si="3"/>
        <v>1.4605000000000002E-2</v>
      </c>
      <c r="C93" t="s">
        <v>0</v>
      </c>
      <c r="D93" t="s">
        <v>0</v>
      </c>
      <c r="E93" s="3" t="s">
        <v>0</v>
      </c>
      <c r="F93" s="3"/>
    </row>
    <row r="94" spans="1:6" x14ac:dyDescent="0.35">
      <c r="A94" s="1">
        <v>79.8</v>
      </c>
      <c r="B94">
        <f t="shared" si="3"/>
        <v>9.3551600000000013E-3</v>
      </c>
      <c r="C94">
        <f t="shared" si="5"/>
        <v>5.2498400000000004E-3</v>
      </c>
      <c r="D94">
        <f>C94*400*44590-4.2*18*23*400*C94</f>
        <v>89984.777523199999</v>
      </c>
      <c r="E94" s="3">
        <f>D94/(73.8)</f>
        <v>1219.305928498645</v>
      </c>
      <c r="F94" s="3">
        <v>50</v>
      </c>
    </row>
    <row r="95" spans="1:6" x14ac:dyDescent="0.35">
      <c r="A95">
        <v>25</v>
      </c>
      <c r="B95">
        <f t="shared" si="3"/>
        <v>1.4605000000000002E-2</v>
      </c>
      <c r="C95" t="s">
        <v>0</v>
      </c>
      <c r="D95" t="s">
        <v>0</v>
      </c>
      <c r="E95" s="3" t="s">
        <v>0</v>
      </c>
      <c r="F95" s="3"/>
    </row>
    <row r="96" spans="1:6" x14ac:dyDescent="0.35">
      <c r="A96" s="1">
        <v>79.8</v>
      </c>
      <c r="B96">
        <f t="shared" si="3"/>
        <v>9.3551600000000013E-3</v>
      </c>
      <c r="C96">
        <f t="shared" si="5"/>
        <v>5.2498400000000004E-3</v>
      </c>
      <c r="D96">
        <f>C96*200*44590-4.2*18*23*200*C96</f>
        <v>44992.388761599999</v>
      </c>
      <c r="E96" s="3">
        <f>D96/(58)</f>
        <v>775.73084071724134</v>
      </c>
      <c r="F96" s="3">
        <v>25</v>
      </c>
    </row>
    <row r="97" spans="1:7" x14ac:dyDescent="0.35">
      <c r="A97">
        <v>25</v>
      </c>
      <c r="B97">
        <f t="shared" si="3"/>
        <v>1.4605000000000002E-2</v>
      </c>
      <c r="C97" t="s">
        <v>0</v>
      </c>
      <c r="D97" t="s">
        <v>0</v>
      </c>
      <c r="E97" s="3" t="s">
        <v>0</v>
      </c>
      <c r="F97" s="3"/>
    </row>
    <row r="98" spans="1:7" x14ac:dyDescent="0.35">
      <c r="A98" s="1">
        <v>79.8</v>
      </c>
      <c r="B98">
        <f t="shared" si="3"/>
        <v>9.3551600000000013E-3</v>
      </c>
      <c r="C98">
        <f t="shared" si="5"/>
        <v>5.2498400000000004E-3</v>
      </c>
      <c r="D98">
        <f>C98*160*44590-4.2*18*23*160*C98</f>
        <v>35993.911009279997</v>
      </c>
      <c r="E98" s="3">
        <f>D98/56</f>
        <v>642.74841087999994</v>
      </c>
      <c r="F98" s="3">
        <v>20</v>
      </c>
    </row>
    <row r="99" spans="1:7" x14ac:dyDescent="0.35">
      <c r="A99">
        <v>25</v>
      </c>
      <c r="B99">
        <f t="shared" si="3"/>
        <v>1.4605000000000002E-2</v>
      </c>
      <c r="C99" t="s">
        <v>0</v>
      </c>
      <c r="D99" t="s">
        <v>0</v>
      </c>
      <c r="E99" s="3" t="s">
        <v>0</v>
      </c>
      <c r="F99" s="3"/>
    </row>
    <row r="100" spans="1:7" x14ac:dyDescent="0.35">
      <c r="A100" s="1">
        <v>79.8</v>
      </c>
      <c r="B100">
        <f t="shared" si="3"/>
        <v>9.3551600000000013E-3</v>
      </c>
      <c r="C100">
        <f t="shared" si="5"/>
        <v>5.2498400000000004E-3</v>
      </c>
      <c r="D100">
        <f>C100*240*44590-4.2*18*23*240*C100</f>
        <v>53990.866513920002</v>
      </c>
      <c r="E100" s="3">
        <f>D100/(60.2)</f>
        <v>896.85824773953493</v>
      </c>
      <c r="F100" s="3">
        <v>30</v>
      </c>
    </row>
    <row r="101" spans="1:7" x14ac:dyDescent="0.35">
      <c r="A101">
        <v>25</v>
      </c>
      <c r="B101">
        <f t="shared" si="3"/>
        <v>1.4605000000000002E-2</v>
      </c>
      <c r="C101" t="s">
        <v>0</v>
      </c>
      <c r="D101" t="s">
        <v>0</v>
      </c>
      <c r="E101" s="3" t="s">
        <v>0</v>
      </c>
      <c r="F101" s="3"/>
    </row>
    <row r="102" spans="1:7" x14ac:dyDescent="0.35">
      <c r="A102" s="1">
        <v>79.8</v>
      </c>
      <c r="B102">
        <f t="shared" si="3"/>
        <v>9.3551600000000013E-3</v>
      </c>
      <c r="C102">
        <f t="shared" si="5"/>
        <v>5.2498400000000004E-3</v>
      </c>
      <c r="D102">
        <f>C102*560*44590-4.2*18*23*560*C102</f>
        <v>125978.68853248001</v>
      </c>
      <c r="E102" s="3">
        <f>D102/(96)</f>
        <v>1312.2780055466667</v>
      </c>
      <c r="F102" s="3">
        <v>70</v>
      </c>
    </row>
    <row r="103" spans="1:7" x14ac:dyDescent="0.35">
      <c r="A103">
        <v>25</v>
      </c>
      <c r="B103">
        <f t="shared" si="3"/>
        <v>1.4605000000000002E-2</v>
      </c>
      <c r="C103" t="s">
        <v>0</v>
      </c>
      <c r="D103" t="s">
        <v>0</v>
      </c>
      <c r="E103" s="3" t="s">
        <v>0</v>
      </c>
      <c r="F103" s="3"/>
    </row>
    <row r="104" spans="1:7" x14ac:dyDescent="0.35">
      <c r="A104" s="1">
        <v>79.8</v>
      </c>
      <c r="B104">
        <f t="shared" si="3"/>
        <v>9.3551600000000013E-3</v>
      </c>
      <c r="C104">
        <f t="shared" si="5"/>
        <v>5.2498400000000004E-3</v>
      </c>
      <c r="D104">
        <f>C104*520*44590-4.2*18*23*520*C104</f>
        <v>116980.21078016001</v>
      </c>
      <c r="E104" s="3">
        <f>D104/(89.4)</f>
        <v>1308.5034762881432</v>
      </c>
      <c r="F104" s="3">
        <v>65</v>
      </c>
    </row>
    <row r="105" spans="1:7" x14ac:dyDescent="0.35">
      <c r="A105">
        <v>25</v>
      </c>
      <c r="B105">
        <f t="shared" si="3"/>
        <v>1.4605000000000002E-2</v>
      </c>
      <c r="E105" s="3"/>
      <c r="F105" s="3"/>
    </row>
    <row r="106" spans="1:7" x14ac:dyDescent="0.35">
      <c r="E106" s="3"/>
      <c r="F106" s="3"/>
    </row>
    <row r="107" spans="1:7" x14ac:dyDescent="0.35">
      <c r="E107" s="3"/>
      <c r="F107" s="3"/>
    </row>
    <row r="108" spans="1:7" x14ac:dyDescent="0.35">
      <c r="E108" s="3"/>
      <c r="F108" s="3"/>
    </row>
    <row r="109" spans="1:7" x14ac:dyDescent="0.35">
      <c r="A109" t="s">
        <v>0</v>
      </c>
      <c r="G109" t="s">
        <v>20</v>
      </c>
    </row>
    <row r="110" spans="1:7" x14ac:dyDescent="0.35">
      <c r="A110" s="1">
        <v>124.3</v>
      </c>
      <c r="B110">
        <f>0.017-0.0000958*A110</f>
        <v>5.0920600000000024E-3</v>
      </c>
      <c r="C110">
        <f>B111-B110</f>
        <v>6.1599399999999992E-3</v>
      </c>
      <c r="D110">
        <f>C110*3200*44590-4.2*18*23*3200*C110</f>
        <v>844674.62696959998</v>
      </c>
      <c r="E110" s="3">
        <f>D110/(601.5)</f>
        <v>1404.2803440891105</v>
      </c>
      <c r="F110" s="3" t="s">
        <v>8</v>
      </c>
      <c r="G110" t="s">
        <v>21</v>
      </c>
    </row>
    <row r="111" spans="1:7" x14ac:dyDescent="0.35">
      <c r="A111" s="1">
        <v>60</v>
      </c>
      <c r="B111">
        <f t="shared" ref="B111:B157" si="6">0.017-0.0000958*A111</f>
        <v>1.1252000000000002E-2</v>
      </c>
      <c r="D111" t="s">
        <v>0</v>
      </c>
      <c r="E111" s="3" t="s">
        <v>0</v>
      </c>
      <c r="F111" s="3"/>
    </row>
    <row r="112" spans="1:7" x14ac:dyDescent="0.35">
      <c r="A112" s="1">
        <v>124.3</v>
      </c>
      <c r="B112">
        <f t="shared" si="6"/>
        <v>5.0920600000000024E-3</v>
      </c>
      <c r="C112">
        <f>B113-B112</f>
        <v>6.1599399999999992E-3</v>
      </c>
      <c r="D112">
        <f>C112*2400*44590-4.2*18*23*2400*C112</f>
        <v>633505.97022719996</v>
      </c>
      <c r="E112" s="3">
        <f>D112/(374)</f>
        <v>1693.8662305540106</v>
      </c>
      <c r="F112" s="3">
        <v>300</v>
      </c>
    </row>
    <row r="113" spans="1:6" x14ac:dyDescent="0.35">
      <c r="A113" s="1">
        <v>60</v>
      </c>
      <c r="B113">
        <f t="shared" si="6"/>
        <v>1.1252000000000002E-2</v>
      </c>
      <c r="D113" t="s">
        <v>0</v>
      </c>
      <c r="E113" s="3" t="s">
        <v>0</v>
      </c>
      <c r="F113" s="3"/>
    </row>
    <row r="114" spans="1:6" x14ac:dyDescent="0.35">
      <c r="A114" s="1">
        <v>124.3</v>
      </c>
      <c r="B114">
        <f t="shared" si="6"/>
        <v>5.0920600000000024E-3</v>
      </c>
      <c r="C114">
        <f>B115-B114</f>
        <v>6.1599399999999992E-3</v>
      </c>
      <c r="D114">
        <f>C114*1600*44590-4.2*18*23*1600*C114</f>
        <v>422337.31348479999</v>
      </c>
      <c r="E114" s="3">
        <f>D114/(207)</f>
        <v>2040.2768767381642</v>
      </c>
      <c r="F114" s="3">
        <v>200</v>
      </c>
    </row>
    <row r="115" spans="1:6" x14ac:dyDescent="0.35">
      <c r="A115" s="1">
        <v>60</v>
      </c>
      <c r="B115">
        <f t="shared" si="6"/>
        <v>1.1252000000000002E-2</v>
      </c>
      <c r="D115" t="s">
        <v>0</v>
      </c>
      <c r="E115" s="3" t="s">
        <v>0</v>
      </c>
      <c r="F115" s="3"/>
    </row>
    <row r="116" spans="1:6" x14ac:dyDescent="0.35">
      <c r="A116" s="1">
        <v>124.3</v>
      </c>
      <c r="B116">
        <f t="shared" si="6"/>
        <v>5.0920600000000024E-3</v>
      </c>
      <c r="C116">
        <f>B117-B116</f>
        <v>6.1599399999999992E-3</v>
      </c>
      <c r="D116">
        <f>C116*1200*44590-4.2*18*23*1200*C116</f>
        <v>316752.98511359998</v>
      </c>
      <c r="E116" s="3">
        <f>D116/(147)</f>
        <v>2154.7822116571429</v>
      </c>
      <c r="F116" s="3">
        <v>150</v>
      </c>
    </row>
    <row r="117" spans="1:6" x14ac:dyDescent="0.35">
      <c r="A117" s="1">
        <v>60</v>
      </c>
      <c r="B117">
        <f t="shared" si="6"/>
        <v>1.1252000000000002E-2</v>
      </c>
      <c r="D117" t="s">
        <v>0</v>
      </c>
      <c r="E117" s="3" t="s">
        <v>0</v>
      </c>
      <c r="F117" s="3"/>
    </row>
    <row r="118" spans="1:6" x14ac:dyDescent="0.35">
      <c r="A118" s="1">
        <v>124.3</v>
      </c>
      <c r="B118">
        <f t="shared" si="6"/>
        <v>5.0920600000000024E-3</v>
      </c>
      <c r="C118">
        <f>B119-B118</f>
        <v>6.1599399999999992E-3</v>
      </c>
      <c r="D118">
        <f>C118*800*44590-4.2*18*23*800*C118</f>
        <v>211168.65674239999</v>
      </c>
      <c r="E118" s="3">
        <f>D118/(103.9)</f>
        <v>2032.4221053166505</v>
      </c>
      <c r="F118" s="3">
        <v>100</v>
      </c>
    </row>
    <row r="119" spans="1:6" x14ac:dyDescent="0.35">
      <c r="A119" s="1">
        <v>60</v>
      </c>
      <c r="B119">
        <f t="shared" si="6"/>
        <v>1.1252000000000002E-2</v>
      </c>
      <c r="D119" t="s">
        <v>0</v>
      </c>
      <c r="E119" s="3" t="s">
        <v>0</v>
      </c>
      <c r="F119" s="3"/>
    </row>
    <row r="120" spans="1:6" x14ac:dyDescent="0.35">
      <c r="A120" s="1">
        <v>124.3</v>
      </c>
      <c r="B120">
        <f t="shared" si="6"/>
        <v>5.0920600000000024E-3</v>
      </c>
      <c r="C120">
        <f>B121-B120</f>
        <v>6.1599399999999992E-3</v>
      </c>
      <c r="D120">
        <f>C120*600*44590-4.2*18*23*600*C120</f>
        <v>158376.49255679999</v>
      </c>
      <c r="E120" s="3">
        <f>D120/(88)</f>
        <v>1799.7328699636362</v>
      </c>
      <c r="F120" s="3">
        <v>75</v>
      </c>
    </row>
    <row r="121" spans="1:6" x14ac:dyDescent="0.35">
      <c r="A121" s="1">
        <v>60</v>
      </c>
      <c r="B121">
        <f t="shared" si="6"/>
        <v>1.1252000000000002E-2</v>
      </c>
      <c r="D121" t="s">
        <v>0</v>
      </c>
      <c r="E121" s="3" t="s">
        <v>0</v>
      </c>
      <c r="F121" s="3"/>
    </row>
    <row r="122" spans="1:6" x14ac:dyDescent="0.35">
      <c r="A122" s="1">
        <v>124.3</v>
      </c>
      <c r="B122">
        <f t="shared" si="6"/>
        <v>5.0920600000000024E-3</v>
      </c>
      <c r="C122">
        <f>B123-B122</f>
        <v>6.1599399999999992E-3</v>
      </c>
      <c r="D122">
        <f>C122*480*44590-4.2*18*23*480*C122</f>
        <v>126701.19404543997</v>
      </c>
      <c r="E122" s="3">
        <f>D122/(80.8)</f>
        <v>1568.0840847207919</v>
      </c>
      <c r="F122" s="3">
        <v>60</v>
      </c>
    </row>
    <row r="123" spans="1:6" x14ac:dyDescent="0.35">
      <c r="A123" s="1">
        <v>60</v>
      </c>
      <c r="B123">
        <f t="shared" si="6"/>
        <v>1.1252000000000002E-2</v>
      </c>
      <c r="D123" t="s">
        <v>0</v>
      </c>
      <c r="E123" s="3" t="s">
        <v>0</v>
      </c>
      <c r="F123" s="3"/>
    </row>
    <row r="124" spans="1:6" x14ac:dyDescent="0.35">
      <c r="A124" s="1">
        <v>124.3</v>
      </c>
      <c r="B124">
        <f t="shared" si="6"/>
        <v>5.0920600000000024E-3</v>
      </c>
      <c r="C124">
        <f>B125-B124</f>
        <v>6.1599399999999992E-3</v>
      </c>
      <c r="D124">
        <f>C124*400*44590-4.2*18*23*400*C124</f>
        <v>105584.3283712</v>
      </c>
      <c r="E124" s="3">
        <f>D124/(76)</f>
        <v>1389.267478568421</v>
      </c>
      <c r="F124" s="3">
        <v>50</v>
      </c>
    </row>
    <row r="125" spans="1:6" x14ac:dyDescent="0.35">
      <c r="A125" s="1">
        <v>60</v>
      </c>
      <c r="B125">
        <f t="shared" si="6"/>
        <v>1.1252000000000002E-2</v>
      </c>
      <c r="D125" t="s">
        <v>0</v>
      </c>
      <c r="E125" s="3" t="s">
        <v>0</v>
      </c>
      <c r="F125" s="3"/>
    </row>
    <row r="126" spans="1:6" x14ac:dyDescent="0.35">
      <c r="A126" s="1">
        <v>124.3</v>
      </c>
      <c r="B126">
        <f t="shared" si="6"/>
        <v>5.0920600000000024E-3</v>
      </c>
      <c r="C126">
        <f>B127-B126</f>
        <v>6.1599399999999992E-3</v>
      </c>
      <c r="D126">
        <f>C126*200*44590-4.2*18*23*200*C126</f>
        <v>52792.164185599999</v>
      </c>
      <c r="E126" s="3">
        <f>D126/(66.6)</f>
        <v>792.67513792192199</v>
      </c>
      <c r="F126" s="3">
        <v>25</v>
      </c>
    </row>
    <row r="127" spans="1:6" x14ac:dyDescent="0.35">
      <c r="A127" s="1">
        <v>60</v>
      </c>
      <c r="B127">
        <f t="shared" si="6"/>
        <v>1.1252000000000002E-2</v>
      </c>
      <c r="D127" t="s">
        <v>0</v>
      </c>
      <c r="E127" s="3" t="s">
        <v>0</v>
      </c>
      <c r="F127" s="3"/>
    </row>
    <row r="128" spans="1:6" x14ac:dyDescent="0.35">
      <c r="A128" s="1">
        <v>124.3</v>
      </c>
      <c r="B128">
        <f t="shared" si="6"/>
        <v>5.0920600000000024E-3</v>
      </c>
      <c r="C128">
        <f>B129-B128</f>
        <v>6.1599399999999992E-3</v>
      </c>
      <c r="D128">
        <f>C128*160*44590-4.2*18*23*160*C128</f>
        <v>42233.731348479996</v>
      </c>
      <c r="E128" s="3">
        <f>D128/(64.8)</f>
        <v>651.75511340246908</v>
      </c>
      <c r="F128" s="3">
        <v>20</v>
      </c>
    </row>
    <row r="129" spans="1:6" x14ac:dyDescent="0.35">
      <c r="A129" s="1">
        <v>60</v>
      </c>
      <c r="B129">
        <f t="shared" si="6"/>
        <v>1.1252000000000002E-2</v>
      </c>
      <c r="D129" t="s">
        <v>0</v>
      </c>
      <c r="E129" s="4" t="s">
        <v>0</v>
      </c>
    </row>
    <row r="130" spans="1:6" x14ac:dyDescent="0.35">
      <c r="A130" s="1">
        <v>124.3</v>
      </c>
      <c r="B130">
        <f t="shared" si="6"/>
        <v>5.0920600000000024E-3</v>
      </c>
      <c r="C130">
        <f>B131-B130</f>
        <v>6.1599399999999992E-3</v>
      </c>
      <c r="D130">
        <f>C130*240*44590-4.2*18*23*240*C130</f>
        <v>63350.597022719987</v>
      </c>
      <c r="E130" s="3">
        <f>D130/68.1</f>
        <v>930.25839974625535</v>
      </c>
      <c r="F130">
        <v>30</v>
      </c>
    </row>
    <row r="131" spans="1:6" x14ac:dyDescent="0.35">
      <c r="A131" s="1">
        <v>60</v>
      </c>
      <c r="B131">
        <f t="shared" si="6"/>
        <v>1.1252000000000002E-2</v>
      </c>
      <c r="C131" t="s">
        <v>0</v>
      </c>
      <c r="D131" t="s">
        <v>0</v>
      </c>
      <c r="E131" s="4" t="s">
        <v>0</v>
      </c>
    </row>
    <row r="132" spans="1:6" x14ac:dyDescent="0.35">
      <c r="A132" s="1"/>
      <c r="E132" s="4"/>
    </row>
    <row r="133" spans="1:6" x14ac:dyDescent="0.35">
      <c r="A133" s="1"/>
      <c r="E133" s="4"/>
    </row>
    <row r="134" spans="1:6" x14ac:dyDescent="0.35">
      <c r="A134" s="1"/>
      <c r="E134" s="4"/>
    </row>
    <row r="135" spans="1:6" x14ac:dyDescent="0.35">
      <c r="A135" s="1"/>
    </row>
    <row r="136" spans="1:6" x14ac:dyDescent="0.35">
      <c r="A136" s="1"/>
      <c r="E136" s="4"/>
    </row>
    <row r="137" spans="1:6" x14ac:dyDescent="0.35">
      <c r="A137" s="1"/>
      <c r="E137" s="4"/>
    </row>
    <row r="138" spans="1:6" x14ac:dyDescent="0.35">
      <c r="A138" s="1"/>
      <c r="E138" s="4"/>
      <c r="F138" s="4"/>
    </row>
    <row r="139" spans="1:6" x14ac:dyDescent="0.35">
      <c r="A139" s="2"/>
      <c r="E139" s="4"/>
    </row>
    <row r="140" spans="1:6" x14ac:dyDescent="0.35">
      <c r="A140" s="1"/>
      <c r="E140" s="4"/>
    </row>
    <row r="141" spans="1:6" x14ac:dyDescent="0.35">
      <c r="A141" s="2"/>
      <c r="E141" s="4"/>
    </row>
    <row r="142" spans="1:6" x14ac:dyDescent="0.35">
      <c r="A142" s="1"/>
      <c r="E142" s="4"/>
    </row>
    <row r="143" spans="1:6" x14ac:dyDescent="0.35">
      <c r="A143" s="2"/>
      <c r="E143" s="4"/>
    </row>
    <row r="144" spans="1:6" x14ac:dyDescent="0.35">
      <c r="A144" s="1"/>
      <c r="E144" s="4"/>
      <c r="F144" s="4"/>
    </row>
    <row r="145" spans="1:6" x14ac:dyDescent="0.35">
      <c r="A145" s="2"/>
      <c r="E145" s="4"/>
    </row>
    <row r="146" spans="1:6" x14ac:dyDescent="0.35">
      <c r="A146" s="1"/>
      <c r="E146" s="4"/>
    </row>
    <row r="147" spans="1:6" x14ac:dyDescent="0.35">
      <c r="A147" s="2"/>
      <c r="E147" s="4"/>
    </row>
    <row r="148" spans="1:6" x14ac:dyDescent="0.35">
      <c r="A148" s="1"/>
      <c r="E148" s="4"/>
      <c r="F148" s="4"/>
    </row>
    <row r="149" spans="1:6" x14ac:dyDescent="0.35">
      <c r="E149" s="4"/>
    </row>
    <row r="150" spans="1:6" x14ac:dyDescent="0.35">
      <c r="A150" s="1"/>
      <c r="E150" s="4"/>
    </row>
    <row r="151" spans="1:6" x14ac:dyDescent="0.35">
      <c r="E151" s="4"/>
    </row>
    <row r="152" spans="1:6" x14ac:dyDescent="0.35">
      <c r="A152" s="1"/>
      <c r="E152" s="4"/>
    </row>
    <row r="153" spans="1:6" x14ac:dyDescent="0.35">
      <c r="E153" s="4"/>
    </row>
    <row r="154" spans="1:6" x14ac:dyDescent="0.35">
      <c r="A154" s="1"/>
      <c r="E154" s="4"/>
    </row>
    <row r="155" spans="1:6" x14ac:dyDescent="0.35">
      <c r="E155" s="4"/>
    </row>
    <row r="156" spans="1:6" x14ac:dyDescent="0.35">
      <c r="A156" s="1"/>
      <c r="E156" s="4"/>
    </row>
    <row r="157" spans="1:6" x14ac:dyDescent="0.35">
      <c r="E157" s="4"/>
    </row>
    <row r="158" spans="1:6" x14ac:dyDescent="0.35">
      <c r="E158" s="3"/>
      <c r="F158" s="3"/>
    </row>
    <row r="159" spans="1:6" x14ac:dyDescent="0.35">
      <c r="E159" s="3"/>
      <c r="F159" s="3"/>
    </row>
    <row r="160" spans="1:6" x14ac:dyDescent="0.35">
      <c r="E160" s="3"/>
      <c r="F160" s="3"/>
    </row>
    <row r="161" spans="5:6" x14ac:dyDescent="0.35">
      <c r="E161" s="3"/>
      <c r="F161" s="3"/>
    </row>
    <row r="162" spans="5:6" x14ac:dyDescent="0.35">
      <c r="E162" s="3"/>
      <c r="F162" s="3"/>
    </row>
    <row r="163" spans="5:6" x14ac:dyDescent="0.35">
      <c r="E163" s="3"/>
      <c r="F163" s="3"/>
    </row>
    <row r="164" spans="5:6" x14ac:dyDescent="0.35">
      <c r="E164" s="3"/>
      <c r="F164" s="3"/>
    </row>
    <row r="165" spans="5:6" x14ac:dyDescent="0.35">
      <c r="E165" s="3"/>
      <c r="F165" s="3"/>
    </row>
    <row r="166" spans="5:6" x14ac:dyDescent="0.35">
      <c r="E166" s="3"/>
      <c r="F166" s="3"/>
    </row>
    <row r="167" spans="5:6" x14ac:dyDescent="0.35">
      <c r="E167" s="3"/>
      <c r="F167" s="3"/>
    </row>
    <row r="168" spans="5:6" x14ac:dyDescent="0.35">
      <c r="E168" s="3"/>
      <c r="F168" s="3"/>
    </row>
    <row r="169" spans="5:6" x14ac:dyDescent="0.35">
      <c r="E169" s="3"/>
      <c r="F169" s="3"/>
    </row>
    <row r="170" spans="5:6" x14ac:dyDescent="0.35">
      <c r="E170" s="3"/>
      <c r="F170" s="3"/>
    </row>
    <row r="171" spans="5:6" x14ac:dyDescent="0.35">
      <c r="E171" s="3"/>
      <c r="F171" s="3"/>
    </row>
    <row r="172" spans="5:6" x14ac:dyDescent="0.35">
      <c r="E172" s="3"/>
      <c r="F172" s="3"/>
    </row>
    <row r="173" spans="5:6" x14ac:dyDescent="0.35">
      <c r="E173" s="3"/>
      <c r="F173" s="3"/>
    </row>
    <row r="174" spans="5:6" x14ac:dyDescent="0.35">
      <c r="E174" s="3"/>
      <c r="F174" s="3"/>
    </row>
    <row r="175" spans="5:6" x14ac:dyDescent="0.35">
      <c r="E175" s="3"/>
      <c r="F175" s="3"/>
    </row>
    <row r="176" spans="5:6" x14ac:dyDescent="0.35">
      <c r="E176" s="3"/>
      <c r="F176" s="3"/>
    </row>
    <row r="177" spans="5:6" x14ac:dyDescent="0.35">
      <c r="E177" s="3"/>
      <c r="F177" s="3"/>
    </row>
    <row r="178" spans="5:6" x14ac:dyDescent="0.35">
      <c r="E178" s="3"/>
      <c r="F178" s="3"/>
    </row>
    <row r="179" spans="5:6" x14ac:dyDescent="0.35">
      <c r="E179" s="3"/>
      <c r="F179" s="3"/>
    </row>
    <row r="180" spans="5:6" x14ac:dyDescent="0.35">
      <c r="E180" s="3"/>
      <c r="F180" s="3"/>
    </row>
    <row r="181" spans="5:6" x14ac:dyDescent="0.35">
      <c r="E181" s="3"/>
      <c r="F181" s="3"/>
    </row>
    <row r="182" spans="5:6" x14ac:dyDescent="0.35">
      <c r="E182" s="3"/>
      <c r="F182" s="3"/>
    </row>
    <row r="183" spans="5:6" x14ac:dyDescent="0.35">
      <c r="E183" s="3"/>
      <c r="F183" s="3"/>
    </row>
    <row r="184" spans="5:6" x14ac:dyDescent="0.35">
      <c r="E184" s="3"/>
      <c r="F184" s="3"/>
    </row>
    <row r="185" spans="5:6" x14ac:dyDescent="0.35">
      <c r="E185" s="3"/>
      <c r="F185" s="3"/>
    </row>
    <row r="186" spans="5:6" x14ac:dyDescent="0.35">
      <c r="E186" s="3"/>
      <c r="F186" s="3"/>
    </row>
    <row r="187" spans="5:6" x14ac:dyDescent="0.35">
      <c r="E187" s="3"/>
      <c r="F187" s="3"/>
    </row>
    <row r="188" spans="5:6" x14ac:dyDescent="0.35">
      <c r="E188" s="3"/>
      <c r="F188" s="3"/>
    </row>
    <row r="189" spans="5:6" x14ac:dyDescent="0.35">
      <c r="E189" s="3"/>
      <c r="F189" s="3"/>
    </row>
    <row r="190" spans="5:6" x14ac:dyDescent="0.35">
      <c r="E190" s="3"/>
      <c r="F190" s="3"/>
    </row>
    <row r="191" spans="5:6" x14ac:dyDescent="0.35">
      <c r="E191" s="3"/>
      <c r="F191" s="3"/>
    </row>
    <row r="192" spans="5:6" x14ac:dyDescent="0.35">
      <c r="E192" s="3"/>
      <c r="F192" s="3"/>
    </row>
    <row r="193" spans="5:6" x14ac:dyDescent="0.35">
      <c r="E193" s="3"/>
      <c r="F193" s="3"/>
    </row>
    <row r="194" spans="5:6" x14ac:dyDescent="0.35">
      <c r="E194" s="3"/>
      <c r="F194" s="3"/>
    </row>
    <row r="195" spans="5:6" x14ac:dyDescent="0.35">
      <c r="E195" s="3"/>
      <c r="F195" s="3"/>
    </row>
    <row r="196" spans="5:6" x14ac:dyDescent="0.35">
      <c r="E196" s="3"/>
      <c r="F196" s="3"/>
    </row>
    <row r="197" spans="5:6" x14ac:dyDescent="0.35">
      <c r="E197" s="3"/>
      <c r="F197" s="3"/>
    </row>
    <row r="198" spans="5:6" x14ac:dyDescent="0.35">
      <c r="E198" s="3"/>
      <c r="F198" s="3"/>
    </row>
    <row r="199" spans="5:6" x14ac:dyDescent="0.35">
      <c r="E199" s="3"/>
      <c r="F199" s="3"/>
    </row>
    <row r="200" spans="5:6" x14ac:dyDescent="0.35">
      <c r="E200" s="3"/>
      <c r="F200" s="3"/>
    </row>
    <row r="201" spans="5:6" x14ac:dyDescent="0.35">
      <c r="E201" s="3"/>
      <c r="F201" s="3"/>
    </row>
    <row r="202" spans="5:6" x14ac:dyDescent="0.35">
      <c r="E202" s="3"/>
      <c r="F202" s="3"/>
    </row>
    <row r="203" spans="5:6" x14ac:dyDescent="0.35">
      <c r="E203" s="3"/>
      <c r="F203" s="3"/>
    </row>
    <row r="204" spans="5:6" x14ac:dyDescent="0.35">
      <c r="E204" s="3"/>
      <c r="F204" s="3"/>
    </row>
    <row r="205" spans="5:6" x14ac:dyDescent="0.35">
      <c r="E205" s="3"/>
      <c r="F205" s="3"/>
    </row>
    <row r="206" spans="5:6" x14ac:dyDescent="0.35">
      <c r="E206" s="3"/>
      <c r="F206" s="3"/>
    </row>
    <row r="207" spans="5:6" x14ac:dyDescent="0.35">
      <c r="E207" s="3"/>
      <c r="F207" s="3"/>
    </row>
    <row r="208" spans="5:6" x14ac:dyDescent="0.35">
      <c r="E208" s="3"/>
      <c r="F208" s="3"/>
    </row>
    <row r="209" spans="5:6" x14ac:dyDescent="0.35">
      <c r="E209" s="3"/>
      <c r="F209" s="3"/>
    </row>
    <row r="210" spans="5:6" x14ac:dyDescent="0.35">
      <c r="E210" s="3"/>
      <c r="F210" s="3"/>
    </row>
    <row r="211" spans="5:6" x14ac:dyDescent="0.35">
      <c r="E211" s="3"/>
      <c r="F211" s="3"/>
    </row>
    <row r="212" spans="5:6" x14ac:dyDescent="0.35">
      <c r="E212" s="3"/>
      <c r="F212" s="3"/>
    </row>
    <row r="213" spans="5:6" x14ac:dyDescent="0.35">
      <c r="E213" s="3"/>
      <c r="F213" s="3"/>
    </row>
    <row r="214" spans="5:6" x14ac:dyDescent="0.35">
      <c r="E214" s="3"/>
      <c r="F214" s="3"/>
    </row>
    <row r="215" spans="5:6" x14ac:dyDescent="0.35">
      <c r="E215" s="3"/>
      <c r="F215" s="3"/>
    </row>
    <row r="216" spans="5:6" x14ac:dyDescent="0.35">
      <c r="E216" s="3"/>
      <c r="F216" s="3"/>
    </row>
    <row r="217" spans="5:6" x14ac:dyDescent="0.35">
      <c r="E217" s="3"/>
      <c r="F217" s="3"/>
    </row>
    <row r="218" spans="5:6" x14ac:dyDescent="0.35">
      <c r="E218" s="3"/>
      <c r="F218" s="3"/>
    </row>
    <row r="219" spans="5:6" x14ac:dyDescent="0.35">
      <c r="E219" s="3"/>
      <c r="F219" s="3"/>
    </row>
    <row r="220" spans="5:6" x14ac:dyDescent="0.35">
      <c r="E220" s="3"/>
      <c r="F220" s="3"/>
    </row>
    <row r="221" spans="5:6" x14ac:dyDescent="0.35">
      <c r="E221" s="3"/>
      <c r="F221" s="3"/>
    </row>
    <row r="222" spans="5:6" x14ac:dyDescent="0.35">
      <c r="E222" s="3"/>
      <c r="F222" s="3"/>
    </row>
    <row r="223" spans="5:6" x14ac:dyDescent="0.35">
      <c r="E223" s="3"/>
      <c r="F223" s="3"/>
    </row>
    <row r="224" spans="5:6" x14ac:dyDescent="0.35">
      <c r="E224" s="3"/>
      <c r="F224" s="3"/>
    </row>
    <row r="225" spans="5:6" x14ac:dyDescent="0.35">
      <c r="E225" s="3"/>
      <c r="F225" s="3"/>
    </row>
    <row r="226" spans="5:6" x14ac:dyDescent="0.35">
      <c r="E226" s="3"/>
      <c r="F226" s="3"/>
    </row>
    <row r="227" spans="5:6" x14ac:dyDescent="0.35">
      <c r="E227" s="3"/>
      <c r="F227" s="3"/>
    </row>
    <row r="228" spans="5:6" x14ac:dyDescent="0.35">
      <c r="E228" s="3"/>
      <c r="F228" s="3"/>
    </row>
    <row r="229" spans="5:6" x14ac:dyDescent="0.35">
      <c r="E229" s="3"/>
      <c r="F229" s="3"/>
    </row>
    <row r="230" spans="5:6" x14ac:dyDescent="0.35">
      <c r="E230" s="3"/>
      <c r="F230" s="3"/>
    </row>
    <row r="231" spans="5:6" x14ac:dyDescent="0.35">
      <c r="E231" s="3"/>
      <c r="F231" s="3"/>
    </row>
    <row r="232" spans="5:6" x14ac:dyDescent="0.35">
      <c r="E232" s="3"/>
      <c r="F232" s="3"/>
    </row>
    <row r="233" spans="5:6" x14ac:dyDescent="0.35">
      <c r="E233" s="3"/>
      <c r="F233" s="3"/>
    </row>
    <row r="234" spans="5:6" x14ac:dyDescent="0.35">
      <c r="E234" s="3"/>
      <c r="F234" s="3"/>
    </row>
    <row r="235" spans="5:6" x14ac:dyDescent="0.35">
      <c r="E235" s="3"/>
      <c r="F235" s="3"/>
    </row>
    <row r="236" spans="5:6" x14ac:dyDescent="0.35">
      <c r="E236" s="3"/>
      <c r="F236" s="3"/>
    </row>
    <row r="237" spans="5:6" x14ac:dyDescent="0.35">
      <c r="E237" s="3"/>
      <c r="F237" s="3"/>
    </row>
    <row r="238" spans="5:6" x14ac:dyDescent="0.35">
      <c r="E238" s="3"/>
      <c r="F238" s="3"/>
    </row>
    <row r="239" spans="5:6" x14ac:dyDescent="0.35">
      <c r="E239" s="3"/>
      <c r="F239" s="3"/>
    </row>
    <row r="240" spans="5:6" x14ac:dyDescent="0.35">
      <c r="E240" s="3"/>
      <c r="F240" s="3"/>
    </row>
    <row r="241" spans="5:6" x14ac:dyDescent="0.35">
      <c r="E241" s="3"/>
      <c r="F241" s="3"/>
    </row>
    <row r="242" spans="5:6" x14ac:dyDescent="0.35">
      <c r="E242" s="3"/>
      <c r="F242" s="3"/>
    </row>
    <row r="243" spans="5:6" x14ac:dyDescent="0.35">
      <c r="E243" s="3"/>
      <c r="F243" s="3"/>
    </row>
    <row r="244" spans="5:6" x14ac:dyDescent="0.35">
      <c r="E244" s="3"/>
      <c r="F244" s="3"/>
    </row>
    <row r="245" spans="5:6" x14ac:dyDescent="0.35">
      <c r="E245" s="3"/>
      <c r="F245" s="3"/>
    </row>
    <row r="246" spans="5:6" x14ac:dyDescent="0.35">
      <c r="E246" s="3"/>
      <c r="F246" s="3"/>
    </row>
    <row r="247" spans="5:6" x14ac:dyDescent="0.35">
      <c r="E247" s="3"/>
      <c r="F247" s="3"/>
    </row>
    <row r="248" spans="5:6" x14ac:dyDescent="0.35">
      <c r="E248" s="3"/>
      <c r="F248" s="3"/>
    </row>
    <row r="249" spans="5:6" x14ac:dyDescent="0.35">
      <c r="E249" s="3"/>
      <c r="F249" s="3"/>
    </row>
    <row r="250" spans="5:6" x14ac:dyDescent="0.35">
      <c r="E250" s="3"/>
      <c r="F250" s="3"/>
    </row>
    <row r="251" spans="5:6" x14ac:dyDescent="0.35">
      <c r="E251" s="3"/>
      <c r="F251" s="3"/>
    </row>
    <row r="252" spans="5:6" x14ac:dyDescent="0.35">
      <c r="E252" s="3"/>
      <c r="F252" s="3"/>
    </row>
    <row r="253" spans="5:6" x14ac:dyDescent="0.35">
      <c r="E253" s="3"/>
      <c r="F253" s="3"/>
    </row>
    <row r="254" spans="5:6" x14ac:dyDescent="0.35">
      <c r="E254" s="3"/>
      <c r="F254" s="3"/>
    </row>
    <row r="255" spans="5:6" x14ac:dyDescent="0.35">
      <c r="E255" s="3"/>
      <c r="F255" s="3"/>
    </row>
    <row r="256" spans="5:6" x14ac:dyDescent="0.35">
      <c r="E256" s="3"/>
      <c r="F256" s="3"/>
    </row>
    <row r="257" spans="5:6" x14ac:dyDescent="0.35">
      <c r="E257" s="3"/>
      <c r="F257" s="3"/>
    </row>
    <row r="258" spans="5:6" x14ac:dyDescent="0.35">
      <c r="E258" s="3"/>
      <c r="F258" s="3"/>
    </row>
    <row r="259" spans="5:6" x14ac:dyDescent="0.35">
      <c r="E259" s="3"/>
      <c r="F259" s="3"/>
    </row>
    <row r="260" spans="5:6" x14ac:dyDescent="0.35">
      <c r="E260" s="3"/>
      <c r="F260" s="3"/>
    </row>
    <row r="261" spans="5:6" x14ac:dyDescent="0.35">
      <c r="E261" s="3"/>
      <c r="F261" s="3"/>
    </row>
    <row r="262" spans="5:6" x14ac:dyDescent="0.35">
      <c r="E262" s="3"/>
      <c r="F262" s="3"/>
    </row>
    <row r="263" spans="5:6" x14ac:dyDescent="0.35">
      <c r="E263" s="3"/>
      <c r="F263" s="3"/>
    </row>
    <row r="264" spans="5:6" x14ac:dyDescent="0.35">
      <c r="E264" s="3"/>
      <c r="F264" s="3"/>
    </row>
    <row r="265" spans="5:6" x14ac:dyDescent="0.35">
      <c r="E265" s="3"/>
      <c r="F265" s="3"/>
    </row>
    <row r="266" spans="5:6" x14ac:dyDescent="0.35">
      <c r="E266" s="3"/>
      <c r="F266" s="3"/>
    </row>
    <row r="267" spans="5:6" x14ac:dyDescent="0.35">
      <c r="E267" s="3"/>
      <c r="F267" s="3"/>
    </row>
    <row r="268" spans="5:6" x14ac:dyDescent="0.35">
      <c r="E268" s="3"/>
      <c r="F268" s="3"/>
    </row>
    <row r="269" spans="5:6" x14ac:dyDescent="0.35">
      <c r="E269" s="3"/>
      <c r="F269" s="3"/>
    </row>
    <row r="270" spans="5:6" x14ac:dyDescent="0.35">
      <c r="E270" s="3"/>
      <c r="F270" s="3"/>
    </row>
    <row r="271" spans="5:6" x14ac:dyDescent="0.35">
      <c r="E271" s="3"/>
      <c r="F271" s="3"/>
    </row>
    <row r="272" spans="5:6" x14ac:dyDescent="0.35">
      <c r="E272" s="3"/>
      <c r="F272" s="3"/>
    </row>
    <row r="273" spans="5:6" x14ac:dyDescent="0.35">
      <c r="E273" s="3"/>
      <c r="F273" s="3"/>
    </row>
    <row r="274" spans="5:6" x14ac:dyDescent="0.35">
      <c r="E274" s="3"/>
      <c r="F274" s="3"/>
    </row>
    <row r="275" spans="5:6" x14ac:dyDescent="0.35">
      <c r="E275" s="3"/>
      <c r="F275" s="3"/>
    </row>
    <row r="276" spans="5:6" x14ac:dyDescent="0.35">
      <c r="E276" s="3"/>
      <c r="F276" s="3"/>
    </row>
    <row r="277" spans="5:6" x14ac:dyDescent="0.35">
      <c r="E277" s="3"/>
      <c r="F277" s="3"/>
    </row>
    <row r="278" spans="5:6" x14ac:dyDescent="0.35">
      <c r="E278" s="3"/>
      <c r="F278" s="3"/>
    </row>
    <row r="279" spans="5:6" x14ac:dyDescent="0.35">
      <c r="E279" s="3"/>
      <c r="F279" s="3"/>
    </row>
    <row r="280" spans="5:6" x14ac:dyDescent="0.35">
      <c r="E280" s="3"/>
      <c r="F280" s="3"/>
    </row>
    <row r="281" spans="5:6" x14ac:dyDescent="0.35">
      <c r="E281" s="3"/>
      <c r="F281" s="3"/>
    </row>
    <row r="282" spans="5:6" x14ac:dyDescent="0.35">
      <c r="E282" s="3"/>
      <c r="F282" s="3"/>
    </row>
    <row r="283" spans="5:6" x14ac:dyDescent="0.35">
      <c r="E283" s="3"/>
      <c r="F28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SAPO-34</vt:lpstr>
      <vt:lpstr>figures</vt:lpstr>
      <vt:lpstr>NaY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</dc:title>
  <dc:creator>win7</dc:creator>
  <cp:lastModifiedBy>itu</cp:lastModifiedBy>
  <cp:lastPrinted>2017-01-12T16:33:01Z</cp:lastPrinted>
  <dcterms:created xsi:type="dcterms:W3CDTF">2017-01-09T08:20:42Z</dcterms:created>
  <dcterms:modified xsi:type="dcterms:W3CDTF">2020-05-22T02:38:26Z</dcterms:modified>
</cp:coreProperties>
</file>