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75" windowWidth="22980" windowHeight="9525" activeTab="3"/>
  </bookViews>
  <sheets>
    <sheet name="Pre-Retrofit" sheetId="1" r:id="rId1"/>
    <sheet name="Gas" sheetId="9" r:id="rId2"/>
    <sheet name="Elec" sheetId="2" r:id="rId3"/>
    <sheet name="Energy Use" sheetId="8" r:id="rId4"/>
    <sheet name="HDD" sheetId="5" r:id="rId5"/>
    <sheet name="CDD" sheetId="4" r:id="rId6"/>
    <sheet name="Weather Lin Regr Analysis" sheetId="3" r:id="rId7"/>
  </sheets>
  <calcPr calcId="125725" concurrentCalc="0"/>
</workbook>
</file>

<file path=xl/calcChain.xml><?xml version="1.0" encoding="utf-8"?>
<calcChain xmlns="http://schemas.openxmlformats.org/spreadsheetml/2006/main">
  <c r="Q32" i="8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U21"/>
  <c r="U22"/>
  <c r="U23"/>
  <c r="U24"/>
  <c r="U25"/>
  <c r="U26"/>
  <c r="U27"/>
  <c r="U28"/>
  <c r="U29"/>
  <c r="U30"/>
  <c r="U31"/>
  <c r="U32"/>
  <c r="U34"/>
  <c r="S34"/>
  <c r="P34"/>
  <c r="P33"/>
  <c r="P32"/>
  <c r="P31"/>
  <c r="P30"/>
  <c r="P29"/>
  <c r="P28"/>
  <c r="P27"/>
  <c r="P26"/>
  <c r="P25"/>
  <c r="P24"/>
  <c r="P23"/>
  <c r="P22"/>
  <c r="P21"/>
  <c r="P20"/>
  <c r="O34"/>
  <c r="O67" i="1"/>
  <c r="E67"/>
  <c r="K21" i="3"/>
  <c r="K20"/>
  <c r="K19"/>
  <c r="L19"/>
  <c r="K18"/>
  <c r="K17"/>
  <c r="L17"/>
  <c r="K16"/>
  <c r="K15"/>
  <c r="L15"/>
  <c r="K14"/>
  <c r="K13"/>
  <c r="L13"/>
  <c r="K12"/>
  <c r="K11"/>
  <c r="L11"/>
  <c r="K10"/>
  <c r="K9"/>
  <c r="L20"/>
  <c r="L18"/>
  <c r="L16"/>
  <c r="L14"/>
  <c r="L12"/>
  <c r="L10"/>
  <c r="L9"/>
  <c r="G86" i="1"/>
  <c r="N20" i="3"/>
  <c r="N14"/>
  <c r="L21"/>
  <c r="I85" i="1"/>
  <c r="I84"/>
  <c r="I83"/>
  <c r="I82"/>
  <c r="I81"/>
  <c r="I80"/>
  <c r="I79"/>
  <c r="I78"/>
  <c r="I77"/>
  <c r="I76"/>
  <c r="I75"/>
  <c r="I74"/>
  <c r="G85"/>
  <c r="G84"/>
  <c r="G83"/>
  <c r="G82"/>
  <c r="G81"/>
  <c r="G80"/>
  <c r="G79"/>
  <c r="G78"/>
  <c r="G77"/>
  <c r="G76"/>
  <c r="G75"/>
  <c r="G74"/>
  <c r="F85"/>
  <c r="F84"/>
  <c r="F83"/>
  <c r="F82"/>
  <c r="F81"/>
  <c r="F80"/>
  <c r="F79"/>
  <c r="F78"/>
  <c r="F77"/>
  <c r="F76"/>
  <c r="F75"/>
  <c r="F74"/>
  <c r="I86"/>
  <c r="P65"/>
  <c r="P64"/>
  <c r="P63"/>
  <c r="P62"/>
  <c r="P61"/>
  <c r="P60"/>
  <c r="P59"/>
  <c r="P58"/>
  <c r="P57"/>
  <c r="P56"/>
  <c r="P55"/>
  <c r="P54"/>
  <c r="P53"/>
  <c r="P52"/>
  <c r="E20" i="3"/>
  <c r="E19"/>
  <c r="E18"/>
  <c r="E17"/>
  <c r="E16"/>
  <c r="E15"/>
  <c r="E14"/>
  <c r="E13"/>
  <c r="E12"/>
  <c r="E11"/>
  <c r="E10"/>
  <c r="E9"/>
  <c r="E8"/>
  <c r="D20"/>
  <c r="D19"/>
  <c r="D18"/>
  <c r="D17"/>
  <c r="D16"/>
  <c r="D15"/>
  <c r="D14"/>
  <c r="D13"/>
  <c r="D12"/>
  <c r="D11"/>
  <c r="D10"/>
  <c r="D9"/>
  <c r="D8"/>
  <c r="D4"/>
  <c r="A20"/>
  <c r="A19"/>
  <c r="A18"/>
  <c r="A17"/>
  <c r="A16"/>
  <c r="A15"/>
  <c r="A14"/>
  <c r="A13"/>
  <c r="A12"/>
  <c r="A11"/>
  <c r="A10"/>
  <c r="A9"/>
  <c r="A8"/>
  <c r="J67" i="1"/>
  <c r="C67"/>
  <c r="N32" i="8"/>
  <c r="L32"/>
  <c r="O32"/>
  <c r="K32"/>
  <c r="N31"/>
  <c r="L31"/>
  <c r="K31"/>
  <c r="N30"/>
  <c r="L30"/>
  <c r="O30"/>
  <c r="K30"/>
  <c r="N29"/>
  <c r="L29"/>
  <c r="K29"/>
  <c r="N28"/>
  <c r="L28"/>
  <c r="O28"/>
  <c r="K28"/>
  <c r="N27"/>
  <c r="L27"/>
  <c r="K27"/>
  <c r="N26"/>
  <c r="L26"/>
  <c r="O26"/>
  <c r="K26"/>
  <c r="N25"/>
  <c r="L25"/>
  <c r="K25"/>
  <c r="N24"/>
  <c r="L24"/>
  <c r="O24"/>
  <c r="K24"/>
  <c r="N23"/>
  <c r="L23"/>
  <c r="K23"/>
  <c r="N22"/>
  <c r="L22"/>
  <c r="O22"/>
  <c r="K22"/>
  <c r="N21"/>
  <c r="L21"/>
  <c r="K21"/>
  <c r="N20"/>
  <c r="L20"/>
  <c r="O20"/>
  <c r="K20"/>
  <c r="N19"/>
  <c r="L19"/>
  <c r="K19"/>
  <c r="N18"/>
  <c r="L18"/>
  <c r="K18"/>
  <c r="N17"/>
  <c r="L17"/>
  <c r="K17"/>
  <c r="N16"/>
  <c r="L16"/>
  <c r="K16"/>
  <c r="N15"/>
  <c r="L15"/>
  <c r="K15"/>
  <c r="N14"/>
  <c r="L14"/>
  <c r="K14"/>
  <c r="N13"/>
  <c r="L13"/>
  <c r="K13"/>
  <c r="N12"/>
  <c r="L12"/>
  <c r="K12"/>
  <c r="K11"/>
  <c r="M12"/>
  <c r="O12"/>
  <c r="O13"/>
  <c r="M14"/>
  <c r="O14"/>
  <c r="O15"/>
  <c r="M16"/>
  <c r="O16"/>
  <c r="O17"/>
  <c r="M18"/>
  <c r="O18"/>
  <c r="O19"/>
  <c r="M20"/>
  <c r="M22"/>
  <c r="M24"/>
  <c r="M26"/>
  <c r="M28"/>
  <c r="M30"/>
  <c r="M32"/>
  <c r="M13"/>
  <c r="M15"/>
  <c r="M17"/>
  <c r="M19"/>
  <c r="M21"/>
  <c r="O21"/>
  <c r="M23"/>
  <c r="O23"/>
  <c r="M25"/>
  <c r="O25"/>
  <c r="M27"/>
  <c r="M37"/>
  <c r="S37"/>
  <c r="O27"/>
  <c r="M29"/>
  <c r="O29"/>
  <c r="M31"/>
  <c r="O31"/>
  <c r="U20"/>
  <c r="W72" i="1"/>
  <c r="V72"/>
  <c r="T72"/>
  <c r="W71"/>
  <c r="V71"/>
  <c r="T71"/>
  <c r="S72"/>
  <c r="S71"/>
  <c r="Q65"/>
  <c r="J65"/>
  <c r="N65"/>
  <c r="D65"/>
  <c r="V65"/>
  <c r="C65"/>
  <c r="Q64"/>
  <c r="L64"/>
  <c r="O64"/>
  <c r="J64"/>
  <c r="N64"/>
  <c r="C64"/>
  <c r="D64"/>
  <c r="Q63"/>
  <c r="J63"/>
  <c r="N63"/>
  <c r="D63"/>
  <c r="V63"/>
  <c r="C63"/>
  <c r="Q62"/>
  <c r="L62"/>
  <c r="O62"/>
  <c r="J62"/>
  <c r="N62"/>
  <c r="C62"/>
  <c r="D62"/>
  <c r="Q61"/>
  <c r="J61"/>
  <c r="N61"/>
  <c r="D61"/>
  <c r="V61"/>
  <c r="C61"/>
  <c r="Q60"/>
  <c r="L60"/>
  <c r="O60"/>
  <c r="J60"/>
  <c r="N60"/>
  <c r="C60"/>
  <c r="D60"/>
  <c r="Q59"/>
  <c r="J59"/>
  <c r="N59"/>
  <c r="D59"/>
  <c r="V59"/>
  <c r="C59"/>
  <c r="L58"/>
  <c r="O58"/>
  <c r="J58"/>
  <c r="N58"/>
  <c r="C58"/>
  <c r="D58"/>
  <c r="J57"/>
  <c r="N57"/>
  <c r="D57"/>
  <c r="V57"/>
  <c r="C57"/>
  <c r="L56"/>
  <c r="O56"/>
  <c r="J56"/>
  <c r="N56"/>
  <c r="C56"/>
  <c r="D56"/>
  <c r="J55"/>
  <c r="N55"/>
  <c r="D55"/>
  <c r="V55"/>
  <c r="C55"/>
  <c r="L54"/>
  <c r="O54"/>
  <c r="J54"/>
  <c r="N54"/>
  <c r="C54"/>
  <c r="D54"/>
  <c r="J53"/>
  <c r="N53"/>
  <c r="D53"/>
  <c r="V53"/>
  <c r="C53"/>
  <c r="L52"/>
  <c r="V52"/>
  <c r="T52"/>
  <c r="S52"/>
  <c r="O52"/>
  <c r="W52"/>
  <c r="N52"/>
  <c r="H52"/>
  <c r="G52"/>
  <c r="E52"/>
  <c r="D52"/>
  <c r="J52"/>
  <c r="C52"/>
  <c r="E46"/>
  <c r="E45"/>
  <c r="E44"/>
  <c r="O33" i="8"/>
  <c r="AB37"/>
  <c r="T37"/>
  <c r="AD37"/>
  <c r="M41"/>
  <c r="M40"/>
  <c r="M43"/>
  <c r="M44"/>
  <c r="U33"/>
  <c r="E54" i="1"/>
  <c r="V54"/>
  <c r="G54"/>
  <c r="S54"/>
  <c r="E58"/>
  <c r="V58"/>
  <c r="G58"/>
  <c r="S58"/>
  <c r="E64"/>
  <c r="V64"/>
  <c r="G64"/>
  <c r="S64"/>
  <c r="E56"/>
  <c r="V56"/>
  <c r="G56"/>
  <c r="S56"/>
  <c r="E60"/>
  <c r="V60"/>
  <c r="G60"/>
  <c r="S60"/>
  <c r="E62"/>
  <c r="V62"/>
  <c r="G62"/>
  <c r="S62"/>
  <c r="E53"/>
  <c r="L53"/>
  <c r="O53"/>
  <c r="E55"/>
  <c r="L55"/>
  <c r="O55"/>
  <c r="E57"/>
  <c r="L57"/>
  <c r="O57"/>
  <c r="E59"/>
  <c r="L59"/>
  <c r="O59"/>
  <c r="E61"/>
  <c r="L61"/>
  <c r="O61"/>
  <c r="E63"/>
  <c r="L63"/>
  <c r="O63"/>
  <c r="E65"/>
  <c r="L65"/>
  <c r="O65"/>
  <c r="G53"/>
  <c r="S53"/>
  <c r="G55"/>
  <c r="S55"/>
  <c r="G57"/>
  <c r="S57"/>
  <c r="G59"/>
  <c r="S59"/>
  <c r="G61"/>
  <c r="S61"/>
  <c r="G63"/>
  <c r="S63"/>
  <c r="G65"/>
  <c r="S65"/>
  <c r="R46" i="8"/>
  <c r="T33"/>
  <c r="M39"/>
  <c r="S39"/>
  <c r="T39"/>
  <c r="W62" i="1"/>
  <c r="H62"/>
  <c r="T62"/>
  <c r="W56"/>
  <c r="H56"/>
  <c r="T56"/>
  <c r="W58"/>
  <c r="H58"/>
  <c r="T58"/>
  <c r="W65"/>
  <c r="H65"/>
  <c r="T65"/>
  <c r="W63"/>
  <c r="H63"/>
  <c r="T63"/>
  <c r="W61"/>
  <c r="H61"/>
  <c r="T61"/>
  <c r="W59"/>
  <c r="H59"/>
  <c r="T59"/>
  <c r="W57"/>
  <c r="H57"/>
  <c r="T57"/>
  <c r="W55"/>
  <c r="H55"/>
  <c r="T55"/>
  <c r="W53"/>
  <c r="H53"/>
  <c r="T53"/>
  <c r="W60"/>
  <c r="H60"/>
  <c r="T60"/>
  <c r="W64"/>
  <c r="H64"/>
  <c r="T64"/>
  <c r="W54"/>
  <c r="H54"/>
  <c r="T54"/>
  <c r="M36"/>
  <c r="M34"/>
  <c r="E36"/>
  <c r="E34"/>
  <c r="G29" i="2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C33" i="8"/>
  <c r="D33"/>
  <c r="C32"/>
  <c r="D32"/>
  <c r="E32"/>
  <c r="AD32"/>
  <c r="C31"/>
  <c r="D31"/>
  <c r="E31"/>
  <c r="AD31"/>
  <c r="C30"/>
  <c r="D30"/>
  <c r="E30"/>
  <c r="AD30"/>
  <c r="C29"/>
  <c r="D29"/>
  <c r="E29"/>
  <c r="AD29"/>
  <c r="C28"/>
  <c r="D28"/>
  <c r="E28"/>
  <c r="AD28"/>
  <c r="C27"/>
  <c r="C26"/>
  <c r="D26"/>
  <c r="E26"/>
  <c r="AD26"/>
  <c r="C25"/>
  <c r="D25"/>
  <c r="E25"/>
  <c r="AD25"/>
  <c r="C24"/>
  <c r="D24"/>
  <c r="E24"/>
  <c r="AD24"/>
  <c r="C23"/>
  <c r="D23"/>
  <c r="E23"/>
  <c r="AD23"/>
  <c r="C22"/>
  <c r="D22"/>
  <c r="E22"/>
  <c r="AD22"/>
  <c r="C21"/>
  <c r="D21"/>
  <c r="E21"/>
  <c r="AD21"/>
  <c r="C20"/>
  <c r="D20"/>
  <c r="E20"/>
  <c r="AD20"/>
  <c r="C19"/>
  <c r="D19"/>
  <c r="E19"/>
  <c r="C18"/>
  <c r="D18"/>
  <c r="E18"/>
  <c r="C17"/>
  <c r="D17"/>
  <c r="E17"/>
  <c r="C16"/>
  <c r="D16"/>
  <c r="E16"/>
  <c r="C15"/>
  <c r="D15"/>
  <c r="E15"/>
  <c r="C14"/>
  <c r="D14"/>
  <c r="E14"/>
  <c r="C13"/>
  <c r="D13"/>
  <c r="E13"/>
  <c r="C12"/>
  <c r="D12"/>
  <c r="E12"/>
  <c r="C11"/>
  <c r="D11"/>
  <c r="E11"/>
  <c r="C7" i="9"/>
  <c r="D7"/>
  <c r="C8"/>
  <c r="D8"/>
  <c r="C9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C25"/>
  <c r="D25"/>
  <c r="C26"/>
  <c r="D26"/>
  <c r="C27"/>
  <c r="D27"/>
  <c r="C28"/>
  <c r="D28"/>
  <c r="E3" i="8"/>
  <c r="E33"/>
  <c r="D27"/>
  <c r="E27"/>
  <c r="AD27"/>
  <c r="C39"/>
  <c r="D39"/>
  <c r="K9"/>
  <c r="W13"/>
  <c r="V13"/>
  <c r="W12"/>
  <c r="V12"/>
  <c r="W11"/>
  <c r="V11"/>
  <c r="N11"/>
  <c r="L11"/>
  <c r="E1"/>
  <c r="E2"/>
  <c r="E4"/>
  <c r="W32"/>
  <c r="W31"/>
  <c r="W30"/>
  <c r="W29"/>
  <c r="W28"/>
  <c r="W27"/>
  <c r="W26"/>
  <c r="W25"/>
  <c r="W24"/>
  <c r="W23"/>
  <c r="W22"/>
  <c r="W21"/>
  <c r="W20"/>
  <c r="W19"/>
  <c r="W18"/>
  <c r="W17"/>
  <c r="W16"/>
  <c r="W15"/>
  <c r="W14"/>
  <c r="V32"/>
  <c r="V31"/>
  <c r="V30"/>
  <c r="V29"/>
  <c r="V28"/>
  <c r="V27"/>
  <c r="V26"/>
  <c r="V25"/>
  <c r="V24"/>
  <c r="V23"/>
  <c r="V22"/>
  <c r="V21"/>
  <c r="V20"/>
  <c r="V19"/>
  <c r="V18"/>
  <c r="V17"/>
  <c r="V16"/>
  <c r="V15"/>
  <c r="V14"/>
  <c r="E39"/>
  <c r="AD39"/>
  <c r="G39"/>
  <c r="AB39"/>
  <c r="M11"/>
  <c r="O11"/>
  <c r="G12"/>
  <c r="H12"/>
  <c r="G11"/>
  <c r="G13"/>
  <c r="H13"/>
  <c r="Y13"/>
  <c r="S12"/>
  <c r="AB12"/>
  <c r="H11"/>
  <c r="S15"/>
  <c r="AB15"/>
  <c r="S30"/>
  <c r="C18" i="3"/>
  <c r="S32" i="8"/>
  <c r="C20" i="3"/>
  <c r="G32" i="8"/>
  <c r="Y32"/>
  <c r="G31"/>
  <c r="Y31"/>
  <c r="G30"/>
  <c r="G29"/>
  <c r="Y29"/>
  <c r="G28"/>
  <c r="G27"/>
  <c r="G26"/>
  <c r="Y26"/>
  <c r="G25"/>
  <c r="G24"/>
  <c r="G23"/>
  <c r="Y23"/>
  <c r="G22"/>
  <c r="Y22"/>
  <c r="G21"/>
  <c r="G20"/>
  <c r="G19"/>
  <c r="G18"/>
  <c r="G17"/>
  <c r="G16"/>
  <c r="Y16"/>
  <c r="G15"/>
  <c r="G14"/>
  <c r="H39"/>
  <c r="S11"/>
  <c r="AB11"/>
  <c r="AC11"/>
  <c r="AB30"/>
  <c r="AB32"/>
  <c r="Y21"/>
  <c r="Y19"/>
  <c r="Y17"/>
  <c r="S14"/>
  <c r="AB14"/>
  <c r="S24"/>
  <c r="C12" i="3"/>
  <c r="Y18" i="8"/>
  <c r="Y28"/>
  <c r="Y30"/>
  <c r="AC27"/>
  <c r="S28"/>
  <c r="C16" i="3"/>
  <c r="S18" i="8"/>
  <c r="AB18"/>
  <c r="AC30"/>
  <c r="AC28"/>
  <c r="Y27"/>
  <c r="Y24"/>
  <c r="AC24"/>
  <c r="Y20"/>
  <c r="AC18"/>
  <c r="AC17"/>
  <c r="Y15"/>
  <c r="AC15"/>
  <c r="Y14"/>
  <c r="AC14"/>
  <c r="Z13"/>
  <c r="Y12"/>
  <c r="AC12"/>
  <c r="S21"/>
  <c r="C9" i="3"/>
  <c r="Z12" i="8"/>
  <c r="S13"/>
  <c r="AB13"/>
  <c r="AC13"/>
  <c r="Y11"/>
  <c r="AC23"/>
  <c r="AC19"/>
  <c r="S26"/>
  <c r="C14" i="3"/>
  <c r="S22" i="8"/>
  <c r="C10" i="3"/>
  <c r="S16" i="8"/>
  <c r="AB16"/>
  <c r="AC26"/>
  <c r="AC22"/>
  <c r="AC16"/>
  <c r="S23"/>
  <c r="C11" i="3"/>
  <c r="S19" i="8"/>
  <c r="AB19"/>
  <c r="AC32"/>
  <c r="AC31"/>
  <c r="S31"/>
  <c r="C19" i="3"/>
  <c r="S29" i="8"/>
  <c r="C17" i="3"/>
  <c r="Y25" i="8"/>
  <c r="AC25"/>
  <c r="S25"/>
  <c r="C13" i="3"/>
  <c r="Z11" i="8"/>
  <c r="S27"/>
  <c r="S20"/>
  <c r="C8" i="3"/>
  <c r="AC20" i="8"/>
  <c r="S17"/>
  <c r="AB17"/>
  <c r="H14"/>
  <c r="Z14"/>
  <c r="H15"/>
  <c r="Z15"/>
  <c r="H16"/>
  <c r="Z16"/>
  <c r="H17"/>
  <c r="Z17"/>
  <c r="H18"/>
  <c r="Z18"/>
  <c r="H19"/>
  <c r="Z19"/>
  <c r="H20"/>
  <c r="H21"/>
  <c r="AC21"/>
  <c r="H22"/>
  <c r="H23"/>
  <c r="H24"/>
  <c r="H25"/>
  <c r="H26"/>
  <c r="H27"/>
  <c r="H28"/>
  <c r="H29"/>
  <c r="AC29"/>
  <c r="H30"/>
  <c r="H31"/>
  <c r="H32"/>
  <c r="C15" i="3"/>
  <c r="S33" i="8"/>
  <c r="AB33"/>
  <c r="K22" i="3"/>
  <c r="K24"/>
  <c r="Z30" i="8"/>
  <c r="AA30"/>
  <c r="Z27"/>
  <c r="AA27"/>
  <c r="Z23"/>
  <c r="AA23"/>
  <c r="Z31"/>
  <c r="AA31"/>
  <c r="Z28"/>
  <c r="AA28"/>
  <c r="Z26"/>
  <c r="AA26"/>
  <c r="Z24"/>
  <c r="AA24"/>
  <c r="Z22"/>
  <c r="AA22"/>
  <c r="Z21"/>
  <c r="AA21"/>
  <c r="Y45"/>
  <c r="Z32"/>
  <c r="AA32"/>
  <c r="Z29"/>
  <c r="AA29"/>
  <c r="Z25"/>
  <c r="AA25"/>
  <c r="Z20"/>
  <c r="AA20"/>
  <c r="AB27"/>
  <c r="AB25"/>
  <c r="AB31"/>
  <c r="AB23"/>
  <c r="AB26"/>
  <c r="AB28"/>
  <c r="AB24"/>
  <c r="AB20"/>
  <c r="AB29"/>
  <c r="AB22"/>
  <c r="AB21"/>
  <c r="AD43"/>
  <c r="Y43"/>
  <c r="AC43"/>
  <c r="AC45"/>
  <c r="AB43"/>
  <c r="Z43"/>
  <c r="Z45"/>
  <c r="AA43"/>
  <c r="AA45"/>
  <c r="AD45"/>
  <c r="AB45"/>
</calcChain>
</file>

<file path=xl/comments1.xml><?xml version="1.0" encoding="utf-8"?>
<comments xmlns="http://schemas.openxmlformats.org/spreadsheetml/2006/main">
  <authors>
    <author>Rosi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>Rosi:</t>
        </r>
        <r>
          <rPr>
            <sz val="9"/>
            <color indexed="81"/>
            <rFont val="Tahoma"/>
            <family val="2"/>
          </rPr>
          <t xml:space="preserve">
Use "actual" best fit equation but put in TMY3 CDD for the value of X to get new energy use by month
</t>
        </r>
      </text>
    </comment>
  </commentList>
</comments>
</file>

<file path=xl/sharedStrings.xml><?xml version="1.0" encoding="utf-8"?>
<sst xmlns="http://schemas.openxmlformats.org/spreadsheetml/2006/main" count="164" uniqueCount="93">
  <si>
    <t>HDD</t>
  </si>
  <si>
    <t>Electricity used</t>
  </si>
  <si>
    <t>Electric Consumption (kWh)</t>
  </si>
  <si>
    <t>PV Production (kWh)</t>
  </si>
  <si>
    <t>CDD</t>
  </si>
  <si>
    <t>Description:</t>
  </si>
  <si>
    <t>Fahrenheit-based heating degree days for a base temperature of 65F</t>
  </si>
  <si>
    <t>Source:</t>
  </si>
  <si>
    <t>www.degreedays.net (using temperature data from www.wunderground.com)</t>
  </si>
  <si>
    <t>Accuracy:</t>
  </si>
  <si>
    <t>Estimates were made to account for missing data: the "% Estimated" column shows how much each figure was affected (0% is best, 100% is worst)</t>
  </si>
  <si>
    <t>Station:</t>
  </si>
  <si>
    <t>Station ID:</t>
  </si>
  <si>
    <t>Month starting</t>
  </si>
  <si>
    <t>% Estimated</t>
  </si>
  <si>
    <t>Fahrenheit-based cooling degree days for a base temperature of 65F</t>
  </si>
  <si>
    <t>site kwh</t>
  </si>
  <si>
    <t>site Mbtu</t>
  </si>
  <si>
    <t>source Mbtu</t>
  </si>
  <si>
    <t>source kwh</t>
  </si>
  <si>
    <t>kwh to Mbtu</t>
  </si>
  <si>
    <t>therm to MBTU</t>
  </si>
  <si>
    <t>natural gas source/site</t>
  </si>
  <si>
    <t>grid electricity source/site</t>
  </si>
  <si>
    <t>Mbtu to kwh</t>
  </si>
  <si>
    <t>site KWH</t>
  </si>
  <si>
    <t>source KWH</t>
  </si>
  <si>
    <t>Total kwh</t>
  </si>
  <si>
    <t>site</t>
  </si>
  <si>
    <t>source</t>
  </si>
  <si>
    <t>Total Mbtu</t>
  </si>
  <si>
    <t>Retrofit Completed</t>
  </si>
  <si>
    <t>(negative) kwh</t>
  </si>
  <si>
    <t>kwh</t>
  </si>
  <si>
    <t>oil source/site</t>
  </si>
  <si>
    <t>Gal of oil to MBTU</t>
  </si>
  <si>
    <t>Read date</t>
  </si>
  <si>
    <t>Pre-retrofit electricity usage from application</t>
  </si>
  <si>
    <t>Therms</t>
  </si>
  <si>
    <t>therms</t>
  </si>
  <si>
    <t>First several months of data not aligned with month so calculated below</t>
  </si>
  <si>
    <t>Grid</t>
  </si>
  <si>
    <t xml:space="preserve">Total </t>
  </si>
  <si>
    <t>Northampton Electricity used</t>
  </si>
  <si>
    <t>Northampton: From email</t>
  </si>
  <si>
    <t>WESTFIELD BARNES MUNICIPAL, MA, US (72.72W,42.16N)</t>
  </si>
  <si>
    <t>KBAF</t>
  </si>
  <si>
    <t>Northampton Single Family Gas Usage</t>
  </si>
  <si>
    <t>Wick</t>
  </si>
  <si>
    <t>Wick Pre-retrofit information from Application</t>
  </si>
  <si>
    <t>Jan 09 - Dec 09</t>
  </si>
  <si>
    <t>Mar 09-Feb10</t>
  </si>
  <si>
    <t>Pre-retrofit natural gas from application</t>
  </si>
  <si>
    <t>Mar 09 - Feb 10</t>
  </si>
  <si>
    <t>RETROFIT RESULTED IN ALL ELECTRIC HOUSE</t>
  </si>
  <si>
    <t>NGrid</t>
  </si>
  <si>
    <t>Totals 12 months</t>
  </si>
  <si>
    <t>Totals 6 months</t>
  </si>
  <si>
    <t>Natural Gas usage</t>
  </si>
  <si>
    <t>Totals</t>
  </si>
  <si>
    <t>Jan09 - Dec 09</t>
  </si>
  <si>
    <t>PV used</t>
  </si>
  <si>
    <t>src if no PV</t>
  </si>
  <si>
    <t>buyback</t>
  </si>
  <si>
    <t>MIN USAGE (w 12 mos data, average the 2 lowest)</t>
  </si>
  <si>
    <t>Linear Regression on Post Retrofit data</t>
  </si>
  <si>
    <t>Actual</t>
  </si>
  <si>
    <t xml:space="preserve">Month </t>
  </si>
  <si>
    <t>Date</t>
  </si>
  <si>
    <t>Actual CDD</t>
  </si>
  <si>
    <t>Actual HDD</t>
  </si>
  <si>
    <t>Comments</t>
  </si>
  <si>
    <t>Predicted (BEopt 1.3)</t>
  </si>
  <si>
    <t>BEopt 1.3 kWh</t>
  </si>
  <si>
    <t>BEopt 1.3 CDD</t>
  </si>
  <si>
    <t>BEopt 1.3 HDD</t>
  </si>
  <si>
    <t>Normalized</t>
  </si>
  <si>
    <t>MMBtu</t>
  </si>
  <si>
    <t xml:space="preserve">Normalized </t>
  </si>
  <si>
    <t>Nat Gas</t>
  </si>
  <si>
    <t>Site energy</t>
  </si>
  <si>
    <t>Src Energy</t>
  </si>
  <si>
    <t>Actual MMBtu</t>
  </si>
  <si>
    <t>site MMBtu</t>
  </si>
  <si>
    <t>Source MMBtu</t>
  </si>
  <si>
    <t>MIN USAGE 6 mos</t>
  </si>
  <si>
    <t>12 mo MMBtu</t>
  </si>
  <si>
    <t>6 mo</t>
  </si>
  <si>
    <t>site kWh excluding gen + used</t>
  </si>
  <si>
    <t>12 mo</t>
  </si>
  <si>
    <t>Using 1.0 conv for site gen + used</t>
  </si>
  <si>
    <t>Using 1.0 conv for site  gen + used</t>
  </si>
  <si>
    <t>Src if no PV</t>
  </si>
</sst>
</file>

<file path=xl/styles.xml><?xml version="1.0" encoding="utf-8"?>
<styleSheet xmlns="http://schemas.openxmlformats.org/spreadsheetml/2006/main">
  <numFmts count="4">
    <numFmt numFmtId="164" formatCode="&quot;$&quot;#,##0.00"/>
    <numFmt numFmtId="165" formatCode="&quot;$&quot;#,##0.0000"/>
    <numFmt numFmtId="166" formatCode="&quot;$&quot;#,##0.00000"/>
    <numFmt numFmtId="167" formatCode="[$-409]mmm\-yy;@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/>
    <xf numFmtId="17" fontId="0" fillId="0" borderId="0" xfId="0" applyNumberFormat="1"/>
    <xf numFmtId="0" fontId="0" fillId="0" borderId="0" xfId="0" applyFill="1"/>
    <xf numFmtId="0" fontId="18" fillId="0" borderId="10" xfId="42" applyNumberFormat="1" applyFont="1" applyFill="1" applyBorder="1" applyAlignment="1">
      <alignment wrapText="1"/>
    </xf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4" fontId="0" fillId="0" borderId="0" xfId="0" applyNumberFormat="1"/>
    <xf numFmtId="2" fontId="18" fillId="0" borderId="10" xfId="42" applyNumberFormat="1" applyFont="1" applyFill="1" applyBorder="1" applyAlignment="1">
      <alignment wrapText="1"/>
    </xf>
    <xf numFmtId="2" fontId="0" fillId="0" borderId="0" xfId="0" applyNumberFormat="1"/>
    <xf numFmtId="0" fontId="0" fillId="0" borderId="13" xfId="0" applyBorder="1"/>
    <xf numFmtId="0" fontId="0" fillId="0" borderId="14" xfId="0" applyBorder="1"/>
    <xf numFmtId="17" fontId="0" fillId="0" borderId="15" xfId="0" applyNumberFormat="1" applyBorder="1"/>
    <xf numFmtId="0" fontId="0" fillId="0" borderId="0" xfId="0" applyBorder="1"/>
    <xf numFmtId="0" fontId="0" fillId="0" borderId="16" xfId="0" applyBorder="1"/>
    <xf numFmtId="17" fontId="0" fillId="0" borderId="17" xfId="0" applyNumberFormat="1" applyBorder="1"/>
    <xf numFmtId="0" fontId="0" fillId="0" borderId="18" xfId="0" applyBorder="1"/>
    <xf numFmtId="0" fontId="0" fillId="0" borderId="19" xfId="0" applyBorder="1"/>
    <xf numFmtId="0" fontId="0" fillId="0" borderId="12" xfId="0" applyBorder="1"/>
    <xf numFmtId="0" fontId="0" fillId="0" borderId="15" xfId="0" applyBorder="1"/>
    <xf numFmtId="17" fontId="0" fillId="0" borderId="0" xfId="0" applyNumberFormat="1" applyBorder="1"/>
    <xf numFmtId="0" fontId="0" fillId="0" borderId="10" xfId="0" applyFill="1" applyBorder="1"/>
    <xf numFmtId="0" fontId="18" fillId="0" borderId="11" xfId="42" applyNumberFormat="1" applyFont="1" applyFill="1" applyBorder="1" applyAlignment="1">
      <alignment wrapText="1"/>
    </xf>
    <xf numFmtId="0" fontId="0" fillId="0" borderId="18" xfId="0" applyFill="1" applyBorder="1"/>
    <xf numFmtId="0" fontId="0" fillId="0" borderId="17" xfId="0" applyBorder="1"/>
    <xf numFmtId="2" fontId="0" fillId="0" borderId="12" xfId="0" applyNumberFormat="1" applyBorder="1"/>
    <xf numFmtId="2" fontId="0" fillId="0" borderId="13" xfId="0" applyNumberFormat="1" applyBorder="1"/>
    <xf numFmtId="2" fontId="0" fillId="0" borderId="15" xfId="0" applyNumberFormat="1" applyBorder="1"/>
    <xf numFmtId="2" fontId="0" fillId="0" borderId="0" xfId="0" applyNumberFormat="1" applyBorder="1"/>
    <xf numFmtId="2" fontId="0" fillId="0" borderId="17" xfId="0" applyNumberFormat="1" applyBorder="1"/>
    <xf numFmtId="2" fontId="0" fillId="0" borderId="18" xfId="0" applyNumberFormat="1" applyBorder="1"/>
    <xf numFmtId="0" fontId="18" fillId="0" borderId="0" xfId="42" applyNumberFormat="1" applyFont="1" applyFill="1" applyBorder="1" applyAlignment="1">
      <alignment wrapText="1"/>
    </xf>
    <xf numFmtId="49" fontId="18" fillId="0" borderId="0" xfId="42" applyNumberFormat="1" applyFont="1" applyFill="1" applyBorder="1" applyAlignment="1">
      <alignment wrapText="1"/>
    </xf>
    <xf numFmtId="17" fontId="0" fillId="0" borderId="0" xfId="0" applyNumberFormat="1" applyFill="1" applyBorder="1"/>
    <xf numFmtId="17" fontId="0" fillId="0" borderId="12" xfId="0" applyNumberFormat="1" applyBorder="1"/>
    <xf numFmtId="4" fontId="0" fillId="0" borderId="0" xfId="0" applyNumberFormat="1" applyBorder="1"/>
    <xf numFmtId="0" fontId="0" fillId="0" borderId="15" xfId="0" applyFill="1" applyBorder="1"/>
    <xf numFmtId="0" fontId="0" fillId="0" borderId="16" xfId="0" applyFill="1" applyBorder="1"/>
    <xf numFmtId="2" fontId="0" fillId="0" borderId="0" xfId="0" applyNumberFormat="1" applyFill="1" applyBorder="1"/>
    <xf numFmtId="2" fontId="0" fillId="0" borderId="16" xfId="0" applyNumberFormat="1" applyFill="1" applyBorder="1"/>
    <xf numFmtId="0" fontId="0" fillId="0" borderId="11" xfId="0" applyBorder="1"/>
    <xf numFmtId="0" fontId="0" fillId="0" borderId="20" xfId="0" applyBorder="1"/>
    <xf numFmtId="2" fontId="0" fillId="0" borderId="20" xfId="0" applyNumberFormat="1" applyBorder="1"/>
    <xf numFmtId="2" fontId="0" fillId="0" borderId="21" xfId="0" applyNumberFormat="1" applyBorder="1"/>
    <xf numFmtId="2" fontId="0" fillId="0" borderId="16" xfId="0" applyNumberFormat="1" applyBorder="1"/>
    <xf numFmtId="2" fontId="0" fillId="0" borderId="19" xfId="0" applyNumberFormat="1" applyBorder="1"/>
    <xf numFmtId="0" fontId="0" fillId="0" borderId="22" xfId="0" applyBorder="1"/>
    <xf numFmtId="0" fontId="0" fillId="0" borderId="23" xfId="0" applyBorder="1"/>
    <xf numFmtId="0" fontId="18" fillId="0" borderId="23" xfId="42" applyNumberFormat="1" applyFont="1" applyFill="1" applyBorder="1" applyAlignment="1">
      <alignment wrapText="1"/>
    </xf>
    <xf numFmtId="2" fontId="18" fillId="0" borderId="23" xfId="42" applyNumberFormat="1" applyFont="1" applyFill="1" applyBorder="1" applyAlignment="1">
      <alignment wrapText="1"/>
    </xf>
    <xf numFmtId="2" fontId="0" fillId="0" borderId="23" xfId="0" applyNumberFormat="1" applyBorder="1"/>
    <xf numFmtId="2" fontId="0" fillId="0" borderId="24" xfId="0" applyNumberFormat="1" applyBorder="1"/>
    <xf numFmtId="0" fontId="19" fillId="0" borderId="0" xfId="42" applyFont="1" applyAlignment="1"/>
    <xf numFmtId="14" fontId="20" fillId="0" borderId="0" xfId="42" applyNumberFormat="1" applyFont="1" applyAlignment="1"/>
    <xf numFmtId="1" fontId="18" fillId="0" borderId="0" xfId="42" applyNumberFormat="1" applyAlignment="1"/>
    <xf numFmtId="164" fontId="18" fillId="0" borderId="0" xfId="42" applyNumberFormat="1" applyAlignment="1"/>
    <xf numFmtId="3" fontId="18" fillId="0" borderId="0" xfId="42" applyNumberFormat="1" applyAlignment="1"/>
    <xf numFmtId="0" fontId="18" fillId="0" borderId="0" xfId="42" applyAlignment="1">
      <alignment horizontal="left" indent="1"/>
    </xf>
    <xf numFmtId="165" fontId="18" fillId="0" borderId="0" xfId="42" applyNumberFormat="1" applyFill="1" applyAlignment="1">
      <alignment horizontal="right"/>
    </xf>
    <xf numFmtId="166" fontId="18" fillId="0" borderId="0" xfId="42" applyNumberFormat="1" applyFill="1" applyAlignment="1">
      <alignment horizontal="right"/>
    </xf>
    <xf numFmtId="14" fontId="21" fillId="0" borderId="0" xfId="42" applyNumberFormat="1" applyFont="1" applyAlignment="1"/>
    <xf numFmtId="0" fontId="23" fillId="0" borderId="0" xfId="43" applyFont="1" applyAlignment="1" applyProtection="1"/>
    <xf numFmtId="0" fontId="18" fillId="0" borderId="0" xfId="42" applyAlignment="1"/>
    <xf numFmtId="14" fontId="18" fillId="0" borderId="0" xfId="42" applyNumberFormat="1" applyAlignment="1"/>
    <xf numFmtId="1" fontId="18" fillId="0" borderId="0" xfId="42" applyNumberFormat="1" applyFont="1" applyAlignment="1">
      <alignment horizontal="center"/>
    </xf>
    <xf numFmtId="164" fontId="18" fillId="0" borderId="0" xfId="42" applyNumberFormat="1" applyFont="1" applyAlignment="1"/>
    <xf numFmtId="0" fontId="21" fillId="0" borderId="18" xfId="42" applyFont="1" applyBorder="1" applyAlignment="1">
      <alignment wrapText="1"/>
    </xf>
    <xf numFmtId="14" fontId="21" fillId="0" borderId="18" xfId="42" applyNumberFormat="1" applyFont="1" applyBorder="1" applyAlignment="1">
      <alignment horizontal="left" wrapText="1"/>
    </xf>
    <xf numFmtId="1" fontId="21" fillId="0" borderId="18" xfId="42" applyNumberFormat="1" applyFont="1" applyBorder="1" applyAlignment="1">
      <alignment horizontal="left" wrapText="1"/>
    </xf>
    <xf numFmtId="3" fontId="21" fillId="0" borderId="18" xfId="42" applyNumberFormat="1" applyFont="1" applyBorder="1" applyAlignment="1">
      <alignment horizontal="left" wrapText="1"/>
    </xf>
    <xf numFmtId="0" fontId="21" fillId="0" borderId="18" xfId="42" applyFont="1" applyBorder="1" applyAlignment="1">
      <alignment horizontal="left" wrapText="1"/>
    </xf>
    <xf numFmtId="165" fontId="21" fillId="0" borderId="18" xfId="42" applyNumberFormat="1" applyFont="1" applyFill="1" applyBorder="1" applyAlignment="1">
      <alignment horizontal="left" wrapText="1"/>
    </xf>
    <xf numFmtId="166" fontId="21" fillId="0" borderId="18" xfId="42" applyNumberFormat="1" applyFont="1" applyFill="1" applyBorder="1" applyAlignment="1">
      <alignment horizontal="center" wrapText="1"/>
    </xf>
    <xf numFmtId="166" fontId="21" fillId="0" borderId="18" xfId="42" applyNumberFormat="1" applyFont="1" applyFill="1" applyBorder="1" applyAlignment="1">
      <alignment horizontal="right" wrapText="1"/>
    </xf>
    <xf numFmtId="17" fontId="18" fillId="0" borderId="0" xfId="42" applyNumberFormat="1" applyAlignment="1"/>
    <xf numFmtId="0" fontId="18" fillId="0" borderId="0" xfId="42" applyNumberFormat="1" applyAlignment="1"/>
    <xf numFmtId="0" fontId="18" fillId="0" borderId="0" xfId="42" applyNumberFormat="1" applyFill="1" applyAlignment="1"/>
    <xf numFmtId="0" fontId="24" fillId="0" borderId="0" xfId="0" applyFont="1"/>
    <xf numFmtId="0" fontId="24" fillId="0" borderId="0" xfId="0" applyFont="1" applyBorder="1"/>
    <xf numFmtId="17" fontId="18" fillId="0" borderId="18" xfId="42" applyNumberFormat="1" applyBorder="1" applyAlignment="1"/>
    <xf numFmtId="14" fontId="18" fillId="0" borderId="18" xfId="42" applyNumberFormat="1" applyBorder="1" applyAlignment="1"/>
    <xf numFmtId="0" fontId="18" fillId="0" borderId="18" xfId="42" applyNumberFormat="1" applyBorder="1" applyAlignment="1"/>
    <xf numFmtId="164" fontId="18" fillId="0" borderId="18" xfId="42" applyNumberFormat="1" applyBorder="1" applyAlignment="1"/>
    <xf numFmtId="0" fontId="24" fillId="0" borderId="18" xfId="0" applyFont="1" applyBorder="1"/>
    <xf numFmtId="164" fontId="18" fillId="0" borderId="0" xfId="42" applyNumberFormat="1" applyBorder="1" applyAlignment="1"/>
    <xf numFmtId="0" fontId="18" fillId="0" borderId="0" xfId="42" applyNumberFormat="1" applyBorder="1" applyAlignment="1"/>
    <xf numFmtId="167" fontId="18" fillId="0" borderId="0" xfId="42" applyNumberFormat="1" applyAlignment="1"/>
    <xf numFmtId="167" fontId="24" fillId="0" borderId="0" xfId="0" applyNumberFormat="1" applyFont="1"/>
    <xf numFmtId="9" fontId="24" fillId="0" borderId="0" xfId="0" applyNumberFormat="1" applyFont="1"/>
    <xf numFmtId="166" fontId="21" fillId="0" borderId="0" xfId="42" applyNumberFormat="1" applyFont="1" applyFill="1" applyBorder="1" applyAlignment="1">
      <alignment horizontal="center" wrapText="1"/>
    </xf>
    <xf numFmtId="166" fontId="18" fillId="0" borderId="0" xfId="42" applyNumberFormat="1" applyFill="1" applyBorder="1" applyAlignment="1">
      <alignment horizontal="right"/>
    </xf>
    <xf numFmtId="0" fontId="18" fillId="0" borderId="0" xfId="42" applyNumberFormat="1" applyFill="1" applyBorder="1" applyAlignment="1"/>
    <xf numFmtId="4" fontId="18" fillId="0" borderId="0" xfId="42" applyNumberFormat="1" applyFill="1" applyAlignment="1">
      <alignment horizontal="right"/>
    </xf>
    <xf numFmtId="2" fontId="18" fillId="0" borderId="18" xfId="42" applyNumberFormat="1" applyBorder="1" applyAlignment="1"/>
    <xf numFmtId="2" fontId="25" fillId="33" borderId="0" xfId="0" applyNumberFormat="1" applyFont="1" applyFill="1" applyBorder="1"/>
    <xf numFmtId="2" fontId="25" fillId="33" borderId="18" xfId="0" applyNumberFormat="1" applyFont="1" applyFill="1" applyBorder="1"/>
    <xf numFmtId="4" fontId="18" fillId="0" borderId="18" xfId="42" applyNumberFormat="1" applyFill="1" applyBorder="1" applyAlignment="1">
      <alignment horizontal="right"/>
    </xf>
    <xf numFmtId="2" fontId="25" fillId="0" borderId="0" xfId="0" applyNumberFormat="1" applyFont="1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0" xfId="0" applyFill="1" applyBorder="1" applyAlignment="1">
      <alignment horizontal="center"/>
    </xf>
    <xf numFmtId="3" fontId="18" fillId="0" borderId="0" xfId="42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18" fillId="0" borderId="0" xfId="42" applyNumberFormat="1" applyFont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scatterChart>
        <c:scatterStyle val="lineMarker"/>
        <c:ser>
          <c:idx val="0"/>
          <c:order val="0"/>
          <c:tx>
            <c:v>Natural gas energy use vs HDD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'Pre-Retrofit'!$P$52:$P$63</c:f>
              <c:numCache>
                <c:formatCode>General</c:formatCode>
                <c:ptCount val="12"/>
                <c:pt idx="0">
                  <c:v>1407</c:v>
                </c:pt>
                <c:pt idx="1">
                  <c:v>1017</c:v>
                </c:pt>
                <c:pt idx="2">
                  <c:v>890</c:v>
                </c:pt>
                <c:pt idx="3">
                  <c:v>478</c:v>
                </c:pt>
                <c:pt idx="4">
                  <c:v>260</c:v>
                </c:pt>
                <c:pt idx="5">
                  <c:v>95</c:v>
                </c:pt>
                <c:pt idx="6">
                  <c:v>52</c:v>
                </c:pt>
                <c:pt idx="7">
                  <c:v>40</c:v>
                </c:pt>
                <c:pt idx="8">
                  <c:v>200</c:v>
                </c:pt>
                <c:pt idx="9">
                  <c:v>524</c:v>
                </c:pt>
                <c:pt idx="10">
                  <c:v>596</c:v>
                </c:pt>
                <c:pt idx="11">
                  <c:v>1125</c:v>
                </c:pt>
              </c:numCache>
            </c:numRef>
          </c:xVal>
          <c:yVal>
            <c:numRef>
              <c:f>'Pre-Retrofit'!$D$52:$D$63</c:f>
              <c:numCache>
                <c:formatCode>0.00</c:formatCode>
                <c:ptCount val="12"/>
                <c:pt idx="0">
                  <c:v>23.8</c:v>
                </c:pt>
                <c:pt idx="1">
                  <c:v>21.8</c:v>
                </c:pt>
                <c:pt idx="2">
                  <c:v>17.100000000000001</c:v>
                </c:pt>
                <c:pt idx="3">
                  <c:v>10.600000000000001</c:v>
                </c:pt>
                <c:pt idx="4">
                  <c:v>4.7</c:v>
                </c:pt>
                <c:pt idx="5">
                  <c:v>3.4000000000000004</c:v>
                </c:pt>
                <c:pt idx="6">
                  <c:v>1.8</c:v>
                </c:pt>
                <c:pt idx="7">
                  <c:v>1.5</c:v>
                </c:pt>
                <c:pt idx="8">
                  <c:v>2</c:v>
                </c:pt>
                <c:pt idx="9">
                  <c:v>4.8000000000000007</c:v>
                </c:pt>
                <c:pt idx="10">
                  <c:v>10.200000000000001</c:v>
                </c:pt>
                <c:pt idx="11">
                  <c:v>14.700000000000001</c:v>
                </c:pt>
              </c:numCache>
            </c:numRef>
          </c:yVal>
        </c:ser>
        <c:axId val="72094464"/>
        <c:axId val="72096384"/>
      </c:scatterChart>
      <c:valAx>
        <c:axId val="72094464"/>
        <c:scaling>
          <c:orientation val="minMax"/>
        </c:scaling>
        <c:axPos val="b"/>
        <c:numFmt formatCode="General" sourceLinked="1"/>
        <c:tickLblPos val="nextTo"/>
        <c:crossAx val="72096384"/>
        <c:crosses val="autoZero"/>
        <c:crossBetween val="midCat"/>
      </c:valAx>
      <c:valAx>
        <c:axId val="72096384"/>
        <c:scaling>
          <c:orientation val="minMax"/>
        </c:scaling>
        <c:axPos val="l"/>
        <c:majorGridlines/>
        <c:numFmt formatCode="0.00" sourceLinked="1"/>
        <c:tickLblPos val="nextTo"/>
        <c:crossAx val="7209446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/>
              <a:t>Northampton Single</a:t>
            </a:r>
            <a:r>
              <a:rPr lang="en-US" sz="1200" baseline="0"/>
              <a:t> Family Gas Consumption </a:t>
            </a:r>
            <a:endParaRPr lang="en-US" sz="1200"/>
          </a:p>
        </c:rich>
      </c:tx>
      <c:layout>
        <c:manualLayout>
          <c:xMode val="edge"/>
          <c:yMode val="edge"/>
          <c:x val="0.13145144936353154"/>
          <c:y val="7.6608095040751487E-2"/>
        </c:manualLayout>
      </c:layout>
    </c:title>
    <c:plotArea>
      <c:layout>
        <c:manualLayout>
          <c:layoutTarget val="inner"/>
          <c:xMode val="edge"/>
          <c:yMode val="edge"/>
          <c:x val="0.15905796150481191"/>
          <c:y val="0.19480351414406533"/>
          <c:w val="0.7133039385529345"/>
          <c:h val="0.56173946677718578"/>
        </c:manualLayout>
      </c:layout>
      <c:barChart>
        <c:barDir val="col"/>
        <c:grouping val="clustered"/>
        <c:ser>
          <c:idx val="0"/>
          <c:order val="0"/>
          <c:tx>
            <c:strRef>
              <c:f>Gas!$B$5</c:f>
              <c:strCache>
                <c:ptCount val="1"/>
                <c:pt idx="0">
                  <c:v>Therms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cat>
            <c:numRef>
              <c:f>Gas!$A$10:$A$28</c:f>
              <c:numCache>
                <c:formatCode>mmm-yy</c:formatCode>
                <c:ptCount val="19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</c:numCache>
            </c:numRef>
          </c:cat>
          <c:val>
            <c:numRef>
              <c:f>Gas!$B$10:$B$28</c:f>
              <c:numCache>
                <c:formatCode>0.00</c:formatCode>
                <c:ptCount val="19"/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</c:ser>
        <c:ser>
          <c:idx val="1"/>
          <c:order val="1"/>
          <c:tx>
            <c:strRef>
              <c:f>Gas!#REF!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CC"/>
            </a:solidFill>
            <a:ln>
              <a:solidFill>
                <a:schemeClr val="tx1">
                  <a:alpha val="25000"/>
                </a:schemeClr>
              </a:solidFill>
            </a:ln>
          </c:spPr>
          <c:cat>
            <c:numRef>
              <c:f>Gas!$A$10:$A$28</c:f>
              <c:numCache>
                <c:formatCode>mmm-yy</c:formatCode>
                <c:ptCount val="19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</c:numCache>
            </c:numRef>
          </c:cat>
          <c:val>
            <c:numRef>
              <c:f>Gas!#REF!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gapWidth val="202"/>
        <c:overlap val="100"/>
        <c:axId val="72644864"/>
        <c:axId val="98441088"/>
      </c:barChart>
      <c:lineChart>
        <c:grouping val="standard"/>
        <c:ser>
          <c:idx val="2"/>
          <c:order val="2"/>
          <c:tx>
            <c:strRef>
              <c:f>Gas!$C$5</c:f>
              <c:strCache>
                <c:ptCount val="1"/>
                <c:pt idx="0">
                  <c:v>HDD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numRef>
              <c:f>Gas!$A$10:$A$15</c:f>
              <c:numCache>
                <c:formatCode>mmm-yy</c:formatCode>
                <c:ptCount val="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</c:numCache>
            </c:numRef>
          </c:cat>
          <c:val>
            <c:numRef>
              <c:f>Gas!$C$10:$C$28</c:f>
              <c:numCache>
                <c:formatCode>General</c:formatCode>
                <c:ptCount val="19"/>
                <c:pt idx="0">
                  <c:v>1080</c:v>
                </c:pt>
                <c:pt idx="1">
                  <c:v>883</c:v>
                </c:pt>
                <c:pt idx="2">
                  <c:v>471</c:v>
                </c:pt>
                <c:pt idx="3">
                  <c:v>189</c:v>
                </c:pt>
                <c:pt idx="4">
                  <c:v>69</c:v>
                </c:pt>
                <c:pt idx="5">
                  <c:v>16</c:v>
                </c:pt>
                <c:pt idx="6">
                  <c:v>34</c:v>
                </c:pt>
                <c:pt idx="7">
                  <c:v>87</c:v>
                </c:pt>
                <c:pt idx="8">
                  <c:v>429</c:v>
                </c:pt>
                <c:pt idx="9">
                  <c:v>610</c:v>
                </c:pt>
                <c:pt idx="10">
                  <c:v>906</c:v>
                </c:pt>
                <c:pt idx="11">
                  <c:v>1071</c:v>
                </c:pt>
                <c:pt idx="12">
                  <c:v>890</c:v>
                </c:pt>
                <c:pt idx="13">
                  <c:v>626</c:v>
                </c:pt>
                <c:pt idx="14">
                  <c:v>441</c:v>
                </c:pt>
                <c:pt idx="15">
                  <c:v>160</c:v>
                </c:pt>
                <c:pt idx="16">
                  <c:v>87</c:v>
                </c:pt>
                <c:pt idx="17">
                  <c:v>15</c:v>
                </c:pt>
                <c:pt idx="18">
                  <c:v>36</c:v>
                </c:pt>
              </c:numCache>
            </c:numRef>
          </c:val>
        </c:ser>
        <c:marker val="1"/>
        <c:axId val="72644864"/>
        <c:axId val="98441088"/>
      </c:lineChart>
      <c:lineChart>
        <c:grouping val="standard"/>
        <c:ser>
          <c:idx val="3"/>
          <c:order val="3"/>
          <c:tx>
            <c:strRef>
              <c:f>Gas!$D$5</c:f>
              <c:strCache>
                <c:ptCount val="1"/>
                <c:pt idx="0">
                  <c:v>CDD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Gas!$A$10:$A$15</c:f>
              <c:numCache>
                <c:formatCode>mmm-yy</c:formatCode>
                <c:ptCount val="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</c:numCache>
            </c:numRef>
          </c:cat>
          <c:val>
            <c:numRef>
              <c:f>Gas!$D$10:$D$28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13</c:v>
                </c:pt>
                <c:pt idx="3">
                  <c:v>86</c:v>
                </c:pt>
                <c:pt idx="4">
                  <c:v>157</c:v>
                </c:pt>
                <c:pt idx="5">
                  <c:v>329</c:v>
                </c:pt>
                <c:pt idx="6">
                  <c:v>215</c:v>
                </c:pt>
                <c:pt idx="7">
                  <c:v>115</c:v>
                </c:pt>
                <c:pt idx="8">
                  <c:v>17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22</c:v>
                </c:pt>
                <c:pt idx="14">
                  <c:v>27</c:v>
                </c:pt>
                <c:pt idx="15">
                  <c:v>104</c:v>
                </c:pt>
                <c:pt idx="16">
                  <c:v>162</c:v>
                </c:pt>
                <c:pt idx="17">
                  <c:v>333</c:v>
                </c:pt>
                <c:pt idx="18">
                  <c:v>266</c:v>
                </c:pt>
              </c:numCache>
            </c:numRef>
          </c:val>
        </c:ser>
        <c:marker val="1"/>
        <c:axId val="103811328"/>
        <c:axId val="103809408"/>
      </c:lineChart>
      <c:dateAx>
        <c:axId val="72644864"/>
        <c:scaling>
          <c:orientation val="minMax"/>
        </c:scaling>
        <c:axPos val="b"/>
        <c:numFmt formatCode="mmm-yy" sourceLinked="1"/>
        <c:tickLblPos val="nextTo"/>
        <c:txPr>
          <a:bodyPr rot="-2640000"/>
          <a:lstStyle/>
          <a:p>
            <a:pPr>
              <a:defRPr/>
            </a:pPr>
            <a:endParaRPr lang="en-US"/>
          </a:p>
        </c:txPr>
        <c:crossAx val="98441088"/>
        <c:crosses val="autoZero"/>
        <c:auto val="1"/>
        <c:lblOffset val="100"/>
        <c:baseTimeUnit val="months"/>
      </c:dateAx>
      <c:valAx>
        <c:axId val="9844108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kWh (monthly) &amp;</a:t>
                </a:r>
                <a:r>
                  <a:rPr lang="en-US" baseline="0"/>
                  <a:t> </a:t>
                </a:r>
                <a:r>
                  <a:rPr lang="en-US" baseline="0">
                    <a:solidFill>
                      <a:srgbClr val="FF0000"/>
                    </a:solidFill>
                  </a:rPr>
                  <a:t>HDD (65F)</a:t>
                </a:r>
                <a:endParaRPr lang="en-US">
                  <a:solidFill>
                    <a:srgbClr val="FF0000"/>
                  </a:solidFill>
                </a:endParaRPr>
              </a:p>
            </c:rich>
          </c:tx>
          <c:layout/>
        </c:title>
        <c:numFmt formatCode="0.00" sourceLinked="1"/>
        <c:tickLblPos val="nextTo"/>
        <c:crossAx val="72644864"/>
        <c:crosses val="autoZero"/>
        <c:crossBetween val="between"/>
        <c:majorUnit val="200"/>
      </c:valAx>
      <c:valAx>
        <c:axId val="103809408"/>
        <c:scaling>
          <c:orientation val="minMax"/>
          <c:min val="-100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>
                    <a:solidFill>
                      <a:schemeClr val="accent1"/>
                    </a:solidFill>
                  </a:rPr>
                  <a:t>CDD (65 F)</a:t>
                </a:r>
              </a:p>
            </c:rich>
          </c:tx>
          <c:layout/>
          <c:spPr>
            <a:noFill/>
            <a:ln>
              <a:noFill/>
            </a:ln>
          </c:spPr>
        </c:title>
        <c:numFmt formatCode="General" sourceLinked="1"/>
        <c:tickLblPos val="nextTo"/>
        <c:txPr>
          <a:bodyPr/>
          <a:lstStyle/>
          <a:p>
            <a:pPr>
              <a:defRPr>
                <a:solidFill>
                  <a:schemeClr val="accent1"/>
                </a:solidFill>
              </a:defRPr>
            </a:pPr>
            <a:endParaRPr lang="en-US"/>
          </a:p>
        </c:txPr>
        <c:crossAx val="103811328"/>
        <c:crosses val="max"/>
        <c:crossBetween val="between"/>
        <c:majorUnit val="20"/>
      </c:valAx>
      <c:dateAx>
        <c:axId val="103811328"/>
        <c:scaling>
          <c:orientation val="minMax"/>
        </c:scaling>
        <c:delete val="1"/>
        <c:axPos val="b"/>
        <c:numFmt formatCode="mmm-yy" sourceLinked="1"/>
        <c:tickLblPos val="none"/>
        <c:crossAx val="103809408"/>
        <c:crosses val="autoZero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11730912223168669"/>
          <c:y val="0.82399778974995808"/>
          <c:w val="0.79247134733158364"/>
          <c:h val="0.11129410139522072"/>
        </c:manualLayout>
      </c:layout>
      <c:spPr>
        <a:ln>
          <a:solidFill>
            <a:schemeClr val="accent1">
              <a:shade val="50000"/>
            </a:schemeClr>
          </a:solidFill>
        </a:ln>
      </c:spPr>
    </c:legend>
    <c:plotVisOnly val="1"/>
    <c:dispBlanksAs val="gap"/>
  </c:chart>
  <c:spPr>
    <a:ln>
      <a:noFill/>
    </a:ln>
  </c:spPr>
  <c:printSettings>
    <c:headerFooter/>
    <c:pageMargins b="0.750000000000006" l="0.70000000000000062" r="0.70000000000000062" t="0.750000000000006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/>
              <a:t>Northampton Single</a:t>
            </a:r>
            <a:r>
              <a:rPr lang="en-US" sz="1200" baseline="0"/>
              <a:t> Family Electrical Consumption </a:t>
            </a:r>
            <a:endParaRPr lang="en-US" sz="1200"/>
          </a:p>
        </c:rich>
      </c:tx>
      <c:layout>
        <c:manualLayout>
          <c:xMode val="edge"/>
          <c:yMode val="edge"/>
          <c:x val="0.13145144936353154"/>
          <c:y val="7.6608095040751487E-2"/>
        </c:manualLayout>
      </c:layout>
    </c:title>
    <c:plotArea>
      <c:layout>
        <c:manualLayout>
          <c:layoutTarget val="inner"/>
          <c:xMode val="edge"/>
          <c:yMode val="edge"/>
          <c:x val="0.15905796150481191"/>
          <c:y val="0.19480351414406533"/>
          <c:w val="0.7133039385529345"/>
          <c:h val="0.56173946677718545"/>
        </c:manualLayout>
      </c:layout>
      <c:barChart>
        <c:barDir val="col"/>
        <c:grouping val="clustered"/>
        <c:ser>
          <c:idx val="0"/>
          <c:order val="0"/>
          <c:tx>
            <c:strRef>
              <c:f>Elec!$D$5</c:f>
              <c:strCache>
                <c:ptCount val="1"/>
                <c:pt idx="0">
                  <c:v>Electric Consumption (kWh)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cat>
            <c:numRef>
              <c:f>Elec!$A$10:$A$28</c:f>
              <c:numCache>
                <c:formatCode>mmm-yy</c:formatCode>
                <c:ptCount val="19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</c:numCache>
            </c:numRef>
          </c:cat>
          <c:val>
            <c:numRef>
              <c:f>Elec!$D$10:$D$28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846</c:v>
                </c:pt>
                <c:pt idx="7">
                  <c:v>651</c:v>
                </c:pt>
                <c:pt idx="8">
                  <c:v>452</c:v>
                </c:pt>
                <c:pt idx="9">
                  <c:v>499</c:v>
                </c:pt>
                <c:pt idx="10">
                  <c:v>686</c:v>
                </c:pt>
                <c:pt idx="11">
                  <c:v>747</c:v>
                </c:pt>
                <c:pt idx="12">
                  <c:v>1035</c:v>
                </c:pt>
                <c:pt idx="13">
                  <c:v>660</c:v>
                </c:pt>
                <c:pt idx="14">
                  <c:v>843</c:v>
                </c:pt>
                <c:pt idx="15">
                  <c:v>515</c:v>
                </c:pt>
                <c:pt idx="16">
                  <c:v>491</c:v>
                </c:pt>
                <c:pt idx="17">
                  <c:v>622</c:v>
                </c:pt>
                <c:pt idx="18">
                  <c:v>496</c:v>
                </c:pt>
              </c:numCache>
            </c:numRef>
          </c:val>
        </c:ser>
        <c:ser>
          <c:idx val="1"/>
          <c:order val="1"/>
          <c:tx>
            <c:strRef>
              <c:f>Elec!$E$5</c:f>
              <c:strCache>
                <c:ptCount val="1"/>
                <c:pt idx="0">
                  <c:v>PV Production (kWh)</c:v>
                </c:pt>
              </c:strCache>
            </c:strRef>
          </c:tx>
          <c:spPr>
            <a:solidFill>
              <a:srgbClr val="FFFFCC"/>
            </a:solidFill>
            <a:ln>
              <a:solidFill>
                <a:schemeClr val="tx1">
                  <a:alpha val="25000"/>
                </a:schemeClr>
              </a:solidFill>
            </a:ln>
          </c:spPr>
          <c:cat>
            <c:numRef>
              <c:f>Elec!$A$10:$A$28</c:f>
              <c:numCache>
                <c:formatCode>mmm-yy</c:formatCode>
                <c:ptCount val="19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</c:numCache>
            </c:numRef>
          </c:cat>
          <c:val>
            <c:numRef>
              <c:f>Elec!$E$10:$E$28</c:f>
              <c:numCache>
                <c:formatCode>General</c:formatCode>
                <c:ptCount val="19"/>
                <c:pt idx="6">
                  <c:v>-623</c:v>
                </c:pt>
                <c:pt idx="7">
                  <c:v>-609</c:v>
                </c:pt>
                <c:pt idx="8">
                  <c:v>-452</c:v>
                </c:pt>
                <c:pt idx="9">
                  <c:v>-376</c:v>
                </c:pt>
                <c:pt idx="10">
                  <c:v>-414</c:v>
                </c:pt>
                <c:pt idx="11">
                  <c:v>-305</c:v>
                </c:pt>
                <c:pt idx="12">
                  <c:v>-370</c:v>
                </c:pt>
                <c:pt idx="13">
                  <c:v>-391</c:v>
                </c:pt>
                <c:pt idx="14">
                  <c:v>-683</c:v>
                </c:pt>
                <c:pt idx="15">
                  <c:v>-630</c:v>
                </c:pt>
                <c:pt idx="16">
                  <c:v>-619</c:v>
                </c:pt>
                <c:pt idx="17">
                  <c:v>-699</c:v>
                </c:pt>
                <c:pt idx="18">
                  <c:v>-707</c:v>
                </c:pt>
              </c:numCache>
            </c:numRef>
          </c:val>
        </c:ser>
        <c:gapWidth val="202"/>
        <c:overlap val="100"/>
        <c:axId val="115173632"/>
        <c:axId val="115257728"/>
      </c:barChart>
      <c:lineChart>
        <c:grouping val="standard"/>
        <c:ser>
          <c:idx val="2"/>
          <c:order val="2"/>
          <c:tx>
            <c:strRef>
              <c:f>Elec!$F$5</c:f>
              <c:strCache>
                <c:ptCount val="1"/>
                <c:pt idx="0">
                  <c:v>HDD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numRef>
              <c:f>Elec!$A$10:$A$15</c:f>
              <c:numCache>
                <c:formatCode>mmm-yy</c:formatCode>
                <c:ptCount val="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</c:numCache>
            </c:numRef>
          </c:cat>
          <c:val>
            <c:numRef>
              <c:f>Elec!$F$10:$F$28</c:f>
              <c:numCache>
                <c:formatCode>General</c:formatCode>
                <c:ptCount val="19"/>
                <c:pt idx="0">
                  <c:v>1309</c:v>
                </c:pt>
                <c:pt idx="1">
                  <c:v>1080</c:v>
                </c:pt>
                <c:pt idx="2">
                  <c:v>883</c:v>
                </c:pt>
                <c:pt idx="3">
                  <c:v>471</c:v>
                </c:pt>
                <c:pt idx="4">
                  <c:v>189</c:v>
                </c:pt>
                <c:pt idx="5">
                  <c:v>69</c:v>
                </c:pt>
                <c:pt idx="6">
                  <c:v>16</c:v>
                </c:pt>
                <c:pt idx="7">
                  <c:v>34</c:v>
                </c:pt>
                <c:pt idx="8">
                  <c:v>87</c:v>
                </c:pt>
                <c:pt idx="9">
                  <c:v>429</c:v>
                </c:pt>
                <c:pt idx="10">
                  <c:v>610</c:v>
                </c:pt>
                <c:pt idx="11">
                  <c:v>906</c:v>
                </c:pt>
                <c:pt idx="12">
                  <c:v>1071</c:v>
                </c:pt>
                <c:pt idx="13">
                  <c:v>890</c:v>
                </c:pt>
                <c:pt idx="14">
                  <c:v>626</c:v>
                </c:pt>
                <c:pt idx="15">
                  <c:v>441</c:v>
                </c:pt>
                <c:pt idx="16">
                  <c:v>160</c:v>
                </c:pt>
                <c:pt idx="17">
                  <c:v>87</c:v>
                </c:pt>
                <c:pt idx="18">
                  <c:v>15</c:v>
                </c:pt>
              </c:numCache>
            </c:numRef>
          </c:val>
        </c:ser>
        <c:marker val="1"/>
        <c:axId val="115173632"/>
        <c:axId val="115257728"/>
      </c:lineChart>
      <c:lineChart>
        <c:grouping val="standard"/>
        <c:ser>
          <c:idx val="3"/>
          <c:order val="3"/>
          <c:tx>
            <c:strRef>
              <c:f>Elec!$G$5</c:f>
              <c:strCache>
                <c:ptCount val="1"/>
                <c:pt idx="0">
                  <c:v>CDD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Elec!$A$10:$A$15</c:f>
              <c:numCache>
                <c:formatCode>mmm-yy</c:formatCode>
                <c:ptCount val="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</c:numCache>
            </c:numRef>
          </c:cat>
          <c:val>
            <c:numRef>
              <c:f>Elec!$G$10:$G$28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</c:v>
                </c:pt>
                <c:pt idx="4">
                  <c:v>86</c:v>
                </c:pt>
                <c:pt idx="5">
                  <c:v>157</c:v>
                </c:pt>
                <c:pt idx="6">
                  <c:v>329</c:v>
                </c:pt>
                <c:pt idx="7">
                  <c:v>215</c:v>
                </c:pt>
                <c:pt idx="8">
                  <c:v>115</c:v>
                </c:pt>
                <c:pt idx="9">
                  <c:v>17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22</c:v>
                </c:pt>
                <c:pt idx="15">
                  <c:v>27</c:v>
                </c:pt>
                <c:pt idx="16">
                  <c:v>104</c:v>
                </c:pt>
                <c:pt idx="17">
                  <c:v>162</c:v>
                </c:pt>
                <c:pt idx="18">
                  <c:v>333</c:v>
                </c:pt>
              </c:numCache>
            </c:numRef>
          </c:val>
        </c:ser>
        <c:marker val="1"/>
        <c:axId val="126621568"/>
        <c:axId val="115260800"/>
      </c:lineChart>
      <c:dateAx>
        <c:axId val="115173632"/>
        <c:scaling>
          <c:orientation val="minMax"/>
        </c:scaling>
        <c:axPos val="b"/>
        <c:numFmt formatCode="mmm-yy" sourceLinked="1"/>
        <c:tickLblPos val="nextTo"/>
        <c:txPr>
          <a:bodyPr rot="-2640000"/>
          <a:lstStyle/>
          <a:p>
            <a:pPr>
              <a:defRPr/>
            </a:pPr>
            <a:endParaRPr lang="en-US"/>
          </a:p>
        </c:txPr>
        <c:crossAx val="115257728"/>
        <c:crosses val="autoZero"/>
        <c:auto val="1"/>
        <c:lblOffset val="100"/>
        <c:baseTimeUnit val="months"/>
      </c:dateAx>
      <c:valAx>
        <c:axId val="11525772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kWh (monthly) &amp;</a:t>
                </a:r>
                <a:r>
                  <a:rPr lang="en-US" baseline="0"/>
                  <a:t> </a:t>
                </a:r>
                <a:r>
                  <a:rPr lang="en-US" baseline="0">
                    <a:solidFill>
                      <a:srgbClr val="FF0000"/>
                    </a:solidFill>
                  </a:rPr>
                  <a:t>HDD (65F)</a:t>
                </a:r>
                <a:endParaRPr lang="en-US">
                  <a:solidFill>
                    <a:srgbClr val="FF0000"/>
                  </a:solidFill>
                </a:endParaRPr>
              </a:p>
            </c:rich>
          </c:tx>
          <c:layout/>
        </c:title>
        <c:numFmt formatCode="General" sourceLinked="1"/>
        <c:tickLblPos val="nextTo"/>
        <c:crossAx val="115173632"/>
        <c:crosses val="autoZero"/>
        <c:crossBetween val="between"/>
        <c:majorUnit val="200"/>
      </c:valAx>
      <c:valAx>
        <c:axId val="115260800"/>
        <c:scaling>
          <c:orientation val="minMax"/>
          <c:min val="-100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>
                    <a:solidFill>
                      <a:schemeClr val="accent1"/>
                    </a:solidFill>
                  </a:rPr>
                  <a:t>CDD (65 F)</a:t>
                </a:r>
              </a:p>
            </c:rich>
          </c:tx>
          <c:layout/>
          <c:spPr>
            <a:noFill/>
            <a:ln>
              <a:noFill/>
            </a:ln>
          </c:spPr>
        </c:title>
        <c:numFmt formatCode="General" sourceLinked="1"/>
        <c:tickLblPos val="nextTo"/>
        <c:txPr>
          <a:bodyPr/>
          <a:lstStyle/>
          <a:p>
            <a:pPr>
              <a:defRPr>
                <a:solidFill>
                  <a:schemeClr val="accent1"/>
                </a:solidFill>
              </a:defRPr>
            </a:pPr>
            <a:endParaRPr lang="en-US"/>
          </a:p>
        </c:txPr>
        <c:crossAx val="126621568"/>
        <c:crosses val="max"/>
        <c:crossBetween val="between"/>
        <c:majorUnit val="20"/>
      </c:valAx>
      <c:dateAx>
        <c:axId val="126621568"/>
        <c:scaling>
          <c:orientation val="minMax"/>
        </c:scaling>
        <c:delete val="1"/>
        <c:axPos val="b"/>
        <c:numFmt formatCode="mmm-yy" sourceLinked="1"/>
        <c:tickLblPos val="none"/>
        <c:crossAx val="115260800"/>
        <c:crosses val="autoZero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11730912223168666"/>
          <c:y val="0.8239977897499583"/>
          <c:w val="0.79247134733158364"/>
          <c:h val="0.11129410139522072"/>
        </c:manualLayout>
      </c:layout>
      <c:spPr>
        <a:ln>
          <a:solidFill>
            <a:schemeClr val="accent1">
              <a:shade val="50000"/>
            </a:schemeClr>
          </a:solidFill>
        </a:ln>
      </c:spPr>
    </c:legend>
    <c:plotVisOnly val="1"/>
    <c:dispBlanksAs val="gap"/>
  </c:chart>
  <c:spPr>
    <a:ln>
      <a:noFill/>
    </a:ln>
  </c:spPr>
  <c:printSettings>
    <c:headerFooter/>
    <c:pageMargins b="0.75000000000000577" l="0.70000000000000062" r="0.70000000000000062" t="0.75000000000000577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532174103237112"/>
          <c:y val="5.1400554097404488E-2"/>
          <c:w val="0.75007874015748122"/>
          <c:h val="0.63597878390201223"/>
        </c:manualLayout>
      </c:layout>
      <c:barChart>
        <c:barDir val="col"/>
        <c:grouping val="clustered"/>
        <c:ser>
          <c:idx val="0"/>
          <c:order val="0"/>
          <c:tx>
            <c:v>Source MMBtu</c:v>
          </c:tx>
          <c:spPr>
            <a:solidFill>
              <a:srgbClr val="FFFF66"/>
            </a:solidFill>
            <a:ln>
              <a:solidFill>
                <a:schemeClr val="tx1"/>
              </a:solidFill>
            </a:ln>
          </c:spPr>
          <c:cat>
            <c:numRef>
              <c:f>'Energy Use'!$J$21:$J$32</c:f>
              <c:numCache>
                <c:formatCode>mmm-yy</c:formatCode>
                <c:ptCount val="12"/>
                <c:pt idx="0">
                  <c:v>40756</c:v>
                </c:pt>
                <c:pt idx="1">
                  <c:v>40787</c:v>
                </c:pt>
                <c:pt idx="2">
                  <c:v>40817</c:v>
                </c:pt>
                <c:pt idx="3">
                  <c:v>40848</c:v>
                </c:pt>
                <c:pt idx="4">
                  <c:v>40878</c:v>
                </c:pt>
                <c:pt idx="5">
                  <c:v>40909</c:v>
                </c:pt>
                <c:pt idx="6">
                  <c:v>40940</c:v>
                </c:pt>
                <c:pt idx="7">
                  <c:v>40969</c:v>
                </c:pt>
                <c:pt idx="8">
                  <c:v>41000</c:v>
                </c:pt>
                <c:pt idx="9">
                  <c:v>41030</c:v>
                </c:pt>
                <c:pt idx="10">
                  <c:v>41061</c:v>
                </c:pt>
                <c:pt idx="11">
                  <c:v>41091</c:v>
                </c:pt>
              </c:numCache>
            </c:numRef>
          </c:cat>
          <c:val>
            <c:numRef>
              <c:f>'Energy Use'!$AD$21:$AD$32</c:f>
              <c:numCache>
                <c:formatCode>0.00</c:formatCode>
                <c:ptCount val="12"/>
                <c:pt idx="0">
                  <c:v>7.4210224199999981</c:v>
                </c:pt>
                <c:pt idx="1">
                  <c:v>5.152537839999999</c:v>
                </c:pt>
                <c:pt idx="2">
                  <c:v>5.6883105799999996</c:v>
                </c:pt>
                <c:pt idx="3">
                  <c:v>7.8200021199999989</c:v>
                </c:pt>
                <c:pt idx="4">
                  <c:v>8.5153667399999993</c:v>
                </c:pt>
                <c:pt idx="5">
                  <c:v>11.798399699999997</c:v>
                </c:pt>
                <c:pt idx="6">
                  <c:v>7.5236171999999994</c:v>
                </c:pt>
                <c:pt idx="7">
                  <c:v>9.6097110599999986</c:v>
                </c:pt>
                <c:pt idx="8">
                  <c:v>5.8707012999999995</c:v>
                </c:pt>
                <c:pt idx="9">
                  <c:v>5.5971152199999992</c:v>
                </c:pt>
                <c:pt idx="10">
                  <c:v>7.0904392399999994</c:v>
                </c:pt>
                <c:pt idx="11">
                  <c:v>5.6541123199999994</c:v>
                </c:pt>
              </c:numCache>
            </c:numRef>
          </c:val>
        </c:ser>
        <c:ser>
          <c:idx val="3"/>
          <c:order val="3"/>
          <c:tx>
            <c:v>Source MMBtu w PV credit</c:v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'Energy Use'!$AC$21:$AC$32</c:f>
              <c:numCache>
                <c:formatCode>0.00</c:formatCode>
                <c:ptCount val="12"/>
                <c:pt idx="0">
                  <c:v>2.5572926399999996</c:v>
                </c:pt>
                <c:pt idx="1">
                  <c:v>1.5426759999999999</c:v>
                </c:pt>
                <c:pt idx="2">
                  <c:v>2.6854166599999996</c:v>
                </c:pt>
                <c:pt idx="3">
                  <c:v>4.5136242399999995</c:v>
                </c:pt>
                <c:pt idx="4">
                  <c:v>6.0795086399999994</c:v>
                </c:pt>
                <c:pt idx="5">
                  <c:v>8.8434242999999988</c:v>
                </c:pt>
                <c:pt idx="6">
                  <c:v>4.4009269799999995</c:v>
                </c:pt>
                <c:pt idx="7">
                  <c:v>4.1549861999999997</c:v>
                </c:pt>
                <c:pt idx="8">
                  <c:v>1.757695</c:v>
                </c:pt>
                <c:pt idx="9">
                  <c:v>1.6757829999999998</c:v>
                </c:pt>
                <c:pt idx="10">
                  <c:v>2.1228859999999998</c:v>
                </c:pt>
                <c:pt idx="11">
                  <c:v>1.6928479999999999</c:v>
                </c:pt>
              </c:numCache>
            </c:numRef>
          </c:val>
        </c:ser>
        <c:axId val="154831104"/>
        <c:axId val="154915200"/>
      </c:barChart>
      <c:lineChart>
        <c:grouping val="standard"/>
        <c:ser>
          <c:idx val="1"/>
          <c:order val="1"/>
          <c:tx>
            <c:v>HDD</c:v>
          </c:tx>
          <c:val>
            <c:numRef>
              <c:f>HDD!$B$39:$B$50</c:f>
              <c:numCache>
                <c:formatCode>General</c:formatCode>
                <c:ptCount val="12"/>
                <c:pt idx="0">
                  <c:v>34</c:v>
                </c:pt>
                <c:pt idx="1">
                  <c:v>87</c:v>
                </c:pt>
                <c:pt idx="2">
                  <c:v>429</c:v>
                </c:pt>
                <c:pt idx="3">
                  <c:v>610</c:v>
                </c:pt>
                <c:pt idx="4">
                  <c:v>906</c:v>
                </c:pt>
                <c:pt idx="5">
                  <c:v>1071</c:v>
                </c:pt>
                <c:pt idx="6">
                  <c:v>890</c:v>
                </c:pt>
                <c:pt idx="7">
                  <c:v>626</c:v>
                </c:pt>
                <c:pt idx="8">
                  <c:v>441</c:v>
                </c:pt>
                <c:pt idx="9">
                  <c:v>160</c:v>
                </c:pt>
                <c:pt idx="10">
                  <c:v>87</c:v>
                </c:pt>
                <c:pt idx="11">
                  <c:v>15</c:v>
                </c:pt>
              </c:numCache>
            </c:numRef>
          </c:val>
        </c:ser>
        <c:ser>
          <c:idx val="2"/>
          <c:order val="2"/>
          <c:tx>
            <c:v>CDD</c:v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CDD!$B$20:$B$31</c:f>
              <c:numCache>
                <c:formatCode>General</c:formatCode>
                <c:ptCount val="12"/>
                <c:pt idx="0">
                  <c:v>215</c:v>
                </c:pt>
                <c:pt idx="1">
                  <c:v>115</c:v>
                </c:pt>
                <c:pt idx="2">
                  <c:v>17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22</c:v>
                </c:pt>
                <c:pt idx="8">
                  <c:v>27</c:v>
                </c:pt>
                <c:pt idx="9">
                  <c:v>104</c:v>
                </c:pt>
                <c:pt idx="10">
                  <c:v>162</c:v>
                </c:pt>
                <c:pt idx="11">
                  <c:v>333</c:v>
                </c:pt>
              </c:numCache>
            </c:numRef>
          </c:val>
        </c:ser>
        <c:marker val="1"/>
        <c:axId val="62418944"/>
        <c:axId val="154917120"/>
      </c:lineChart>
      <c:dateAx>
        <c:axId val="154831104"/>
        <c:scaling>
          <c:orientation val="minMax"/>
        </c:scaling>
        <c:axPos val="b"/>
        <c:numFmt formatCode="mmm-yy" sourceLinked="1"/>
        <c:tickLblPos val="nextTo"/>
        <c:crossAx val="154915200"/>
        <c:crosses val="autoZero"/>
        <c:auto val="1"/>
        <c:lblOffset val="100"/>
      </c:dateAx>
      <c:valAx>
        <c:axId val="154915200"/>
        <c:scaling>
          <c:orientation val="minMax"/>
        </c:scaling>
        <c:axPos val="l"/>
        <c:majorGridlines/>
        <c:numFmt formatCode="0" sourceLinked="0"/>
        <c:tickLblPos val="nextTo"/>
        <c:crossAx val="154831104"/>
        <c:crosses val="autoZero"/>
        <c:crossBetween val="between"/>
      </c:valAx>
      <c:valAx>
        <c:axId val="154917120"/>
        <c:scaling>
          <c:orientation val="minMax"/>
        </c:scaling>
        <c:axPos val="r"/>
        <c:numFmt formatCode="General" sourceLinked="1"/>
        <c:tickLblPos val="nextTo"/>
        <c:crossAx val="62418944"/>
        <c:crosses val="max"/>
        <c:crossBetween val="between"/>
      </c:valAx>
      <c:catAx>
        <c:axId val="62418944"/>
        <c:scaling>
          <c:orientation val="minMax"/>
        </c:scaling>
        <c:delete val="1"/>
        <c:axPos val="b"/>
        <c:tickLblPos val="none"/>
        <c:crossAx val="154917120"/>
        <c:crosses val="autoZero"/>
        <c:auto val="1"/>
        <c:lblAlgn val="ctr"/>
        <c:lblOffset val="100"/>
      </c:catAx>
    </c:plotArea>
    <c:legend>
      <c:legendPos val="b"/>
      <c:layout/>
    </c:legend>
    <c:plotVisOnly val="1"/>
    <c:dispBlanksAs val="gap"/>
  </c:chart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scatterChart>
        <c:scatterStyle val="lineMarker"/>
        <c:ser>
          <c:idx val="0"/>
          <c:order val="0"/>
          <c:tx>
            <c:v>energy use vs HDD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'Weather Lin Regr Analysis'!$E$9:$E$20</c:f>
              <c:numCache>
                <c:formatCode>General</c:formatCode>
                <c:ptCount val="12"/>
                <c:pt idx="0">
                  <c:v>34</c:v>
                </c:pt>
                <c:pt idx="1">
                  <c:v>87</c:v>
                </c:pt>
                <c:pt idx="2">
                  <c:v>429</c:v>
                </c:pt>
                <c:pt idx="3">
                  <c:v>610</c:v>
                </c:pt>
                <c:pt idx="4">
                  <c:v>906</c:v>
                </c:pt>
                <c:pt idx="5">
                  <c:v>1071</c:v>
                </c:pt>
                <c:pt idx="6">
                  <c:v>890</c:v>
                </c:pt>
                <c:pt idx="7">
                  <c:v>626</c:v>
                </c:pt>
                <c:pt idx="8">
                  <c:v>441</c:v>
                </c:pt>
                <c:pt idx="9">
                  <c:v>160</c:v>
                </c:pt>
                <c:pt idx="10">
                  <c:v>87</c:v>
                </c:pt>
                <c:pt idx="11">
                  <c:v>15</c:v>
                </c:pt>
              </c:numCache>
            </c:numRef>
          </c:xVal>
          <c:yVal>
            <c:numRef>
              <c:f>'Weather Lin Regr Analysis'!$C$9:$C$20</c:f>
              <c:numCache>
                <c:formatCode>0.00</c:formatCode>
                <c:ptCount val="12"/>
                <c:pt idx="0">
                  <c:v>2.2218629999999999</c:v>
                </c:pt>
                <c:pt idx="1">
                  <c:v>1.5426759999999999</c:v>
                </c:pt>
                <c:pt idx="2">
                  <c:v>1.7030869999999998</c:v>
                </c:pt>
                <c:pt idx="3">
                  <c:v>2.3413179999999998</c:v>
                </c:pt>
                <c:pt idx="4">
                  <c:v>2.5495109999999999</c:v>
                </c:pt>
                <c:pt idx="5">
                  <c:v>3.5324549999999997</c:v>
                </c:pt>
                <c:pt idx="6">
                  <c:v>2.25258</c:v>
                </c:pt>
                <c:pt idx="7">
                  <c:v>2.8771589999999998</c:v>
                </c:pt>
                <c:pt idx="8">
                  <c:v>1.757695</c:v>
                </c:pt>
                <c:pt idx="9">
                  <c:v>1.6757829999999998</c:v>
                </c:pt>
                <c:pt idx="10">
                  <c:v>2.1228859999999998</c:v>
                </c:pt>
                <c:pt idx="11">
                  <c:v>1.6928479999999999</c:v>
                </c:pt>
              </c:numCache>
            </c:numRef>
          </c:yVal>
        </c:ser>
        <c:axId val="62513920"/>
        <c:axId val="62515456"/>
      </c:scatterChart>
      <c:valAx>
        <c:axId val="62513920"/>
        <c:scaling>
          <c:orientation val="minMax"/>
        </c:scaling>
        <c:axPos val="b"/>
        <c:numFmt formatCode="General" sourceLinked="1"/>
        <c:tickLblPos val="nextTo"/>
        <c:crossAx val="62515456"/>
        <c:crosses val="autoZero"/>
        <c:crossBetween val="midCat"/>
      </c:valAx>
      <c:valAx>
        <c:axId val="62515456"/>
        <c:scaling>
          <c:orientation val="minMax"/>
        </c:scaling>
        <c:axPos val="l"/>
        <c:majorGridlines/>
        <c:numFmt formatCode="0.00" sourceLinked="1"/>
        <c:tickLblPos val="nextTo"/>
        <c:crossAx val="6251392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142875</xdr:colOff>
      <xdr:row>73</xdr:row>
      <xdr:rowOff>161925</xdr:rowOff>
    </xdr:from>
    <xdr:to>
      <xdr:col>18</xdr:col>
      <xdr:colOff>447675</xdr:colOff>
      <xdr:row>88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2</xdr:row>
      <xdr:rowOff>160020</xdr:rowOff>
    </xdr:from>
    <xdr:to>
      <xdr:col>14</xdr:col>
      <xdr:colOff>548640</xdr:colOff>
      <xdr:row>25</xdr:row>
      <xdr:rowOff>121920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0.89441</cdr:x>
      <cdr:y>0.58903</cdr:y>
    </cdr:from>
    <cdr:to>
      <cdr:x>0.94444</cdr:x>
      <cdr:y>0.81851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4631065" y="2221776"/>
          <a:ext cx="259045" cy="8655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2</xdr:row>
      <xdr:rowOff>160020</xdr:rowOff>
    </xdr:from>
    <xdr:to>
      <xdr:col>17</xdr:col>
      <xdr:colOff>548640</xdr:colOff>
      <xdr:row>25</xdr:row>
      <xdr:rowOff>121920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0.89441</cdr:x>
      <cdr:y>0.58903</cdr:y>
    </cdr:from>
    <cdr:to>
      <cdr:x>0.94444</cdr:x>
      <cdr:y>0.81851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4631065" y="2221776"/>
          <a:ext cx="259045" cy="8655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45</xdr:row>
      <xdr:rowOff>9524</xdr:rowOff>
    </xdr:from>
    <xdr:to>
      <xdr:col>16</xdr:col>
      <xdr:colOff>600075</xdr:colOff>
      <xdr:row>61</xdr:row>
      <xdr:rowOff>38099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4.37445E-7</cdr:x>
      <cdr:y>0</cdr:y>
    </cdr:from>
    <cdr:to>
      <cdr:x>0.05208</cdr:x>
      <cdr:y>0.75347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14399" y="914401"/>
          <a:ext cx="2066928" cy="2381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b="1"/>
            <a:t>Source Energy MMBtu (monthly)</a:t>
          </a:r>
        </a:p>
      </cdr:txBody>
    </cdr:sp>
  </cdr:relSizeAnchor>
  <cdr:relSizeAnchor xmlns:cdr="http://schemas.openxmlformats.org/drawingml/2006/chartDrawing">
    <cdr:from>
      <cdr:x>0.94375</cdr:x>
      <cdr:y>0.06076</cdr:y>
    </cdr:from>
    <cdr:to>
      <cdr:x>0.99792</cdr:x>
      <cdr:y>0.55729</cdr:y>
    </cdr:to>
    <cdr:sp macro="" textlink="">
      <cdr:nvSpPr>
        <cdr:cNvPr id="3" name="TextBox 2"/>
        <cdr:cNvSpPr txBox="1"/>
      </cdr:nvSpPr>
      <cdr:spPr>
        <a:xfrm xmlns:a="http://schemas.openxmlformats.org/drawingml/2006/main" rot="16200000">
          <a:off x="3757613" y="723898"/>
          <a:ext cx="1362075" cy="247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b="1"/>
            <a:t>HDD &amp; CDD (65F)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24</xdr:row>
      <xdr:rowOff>0</xdr:rowOff>
    </xdr:from>
    <xdr:to>
      <xdr:col>10</xdr:col>
      <xdr:colOff>304800</xdr:colOff>
      <xdr:row>38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X86"/>
  <sheetViews>
    <sheetView topLeftCell="A49" workbookViewId="0">
      <selection activeCell="O67" sqref="O67"/>
    </sheetView>
  </sheetViews>
  <sheetFormatPr defaultRowHeight="15"/>
  <cols>
    <col min="2" max="2" width="10.42578125" bestFit="1" customWidth="1"/>
  </cols>
  <sheetData>
    <row r="6" spans="1:11" s="9" customFormat="1">
      <c r="A6"/>
      <c r="B6"/>
      <c r="C6"/>
      <c r="D6"/>
      <c r="E6"/>
      <c r="F6"/>
      <c r="G6"/>
      <c r="H6"/>
      <c r="I6"/>
      <c r="J6"/>
      <c r="K6"/>
    </row>
    <row r="7" spans="1:11" s="9" customFormat="1">
      <c r="A7"/>
      <c r="B7"/>
      <c r="C7"/>
      <c r="D7"/>
      <c r="E7"/>
      <c r="F7"/>
      <c r="G7"/>
      <c r="H7"/>
      <c r="I7"/>
      <c r="J7"/>
      <c r="K7"/>
    </row>
    <row r="15" spans="1:11">
      <c r="E15" s="1"/>
    </row>
    <row r="16" spans="1:11">
      <c r="E16" s="1"/>
    </row>
    <row r="18" spans="1:15">
      <c r="B18" s="9" t="s">
        <v>49</v>
      </c>
    </row>
    <row r="19" spans="1:15">
      <c r="A19" s="17"/>
      <c r="B19" s="17"/>
      <c r="C19" s="17"/>
      <c r="D19" s="17"/>
      <c r="E19" s="17"/>
      <c r="F19" s="17"/>
      <c r="I19" s="22"/>
      <c r="J19" s="14"/>
      <c r="K19" s="14"/>
      <c r="L19" s="14"/>
      <c r="M19" s="14"/>
      <c r="N19" s="14"/>
      <c r="O19" s="15"/>
    </row>
    <row r="20" spans="1:15">
      <c r="A20" s="17"/>
      <c r="B20" s="22" t="s">
        <v>37</v>
      </c>
      <c r="C20" s="14"/>
      <c r="D20" s="14"/>
      <c r="E20" s="14"/>
      <c r="F20" s="15"/>
      <c r="I20" s="23"/>
      <c r="J20" s="17" t="s">
        <v>52</v>
      </c>
      <c r="K20" s="17"/>
      <c r="L20" s="17"/>
      <c r="M20" s="17"/>
      <c r="N20" s="17"/>
      <c r="O20" s="18"/>
    </row>
    <row r="21" spans="1:15">
      <c r="A21" s="17"/>
      <c r="B21" s="23"/>
      <c r="C21" s="17"/>
      <c r="D21" s="17"/>
      <c r="E21" s="17"/>
      <c r="F21" s="18"/>
      <c r="I21" s="23"/>
      <c r="J21" s="17"/>
      <c r="K21" s="17"/>
      <c r="L21" s="17"/>
      <c r="M21" s="17"/>
      <c r="N21" s="17"/>
      <c r="O21" s="18"/>
    </row>
    <row r="22" spans="1:15">
      <c r="A22" s="17"/>
      <c r="B22" s="23" t="s">
        <v>36</v>
      </c>
      <c r="C22" s="17"/>
      <c r="D22" s="17" t="s">
        <v>33</v>
      </c>
      <c r="E22" s="17"/>
      <c r="F22" s="18"/>
      <c r="I22" s="23"/>
      <c r="J22" s="17" t="s">
        <v>36</v>
      </c>
      <c r="K22" s="17"/>
      <c r="L22" s="17" t="s">
        <v>39</v>
      </c>
      <c r="M22" s="17"/>
      <c r="N22" s="17"/>
      <c r="O22" s="18"/>
    </row>
    <row r="23" spans="1:15">
      <c r="A23" s="17"/>
      <c r="B23" s="16">
        <v>39839</v>
      </c>
      <c r="C23" s="24"/>
      <c r="D23" s="17">
        <v>523</v>
      </c>
      <c r="E23" s="17"/>
      <c r="F23" s="18"/>
      <c r="I23" s="23"/>
      <c r="J23" s="24">
        <v>39828</v>
      </c>
      <c r="K23" s="17"/>
      <c r="L23" s="17">
        <v>238</v>
      </c>
      <c r="M23" s="17"/>
      <c r="N23" s="17"/>
      <c r="O23" s="18"/>
    </row>
    <row r="24" spans="1:15">
      <c r="A24" s="17"/>
      <c r="B24" s="16">
        <v>39868</v>
      </c>
      <c r="C24" s="24"/>
      <c r="D24" s="17">
        <v>353</v>
      </c>
      <c r="E24" s="17"/>
      <c r="F24" s="18"/>
      <c r="I24" s="23"/>
      <c r="J24" s="24">
        <v>39857</v>
      </c>
      <c r="K24" s="17"/>
      <c r="L24" s="17">
        <v>218</v>
      </c>
      <c r="M24" s="17"/>
      <c r="N24" s="17"/>
      <c r="O24" s="18"/>
    </row>
    <row r="25" spans="1:15">
      <c r="A25" s="17"/>
      <c r="B25" s="16">
        <v>39898</v>
      </c>
      <c r="C25" s="24"/>
      <c r="D25" s="17">
        <v>374</v>
      </c>
      <c r="E25" s="17"/>
      <c r="F25" s="18"/>
      <c r="I25" s="23"/>
      <c r="J25" s="24">
        <v>39888</v>
      </c>
      <c r="K25" s="17"/>
      <c r="L25" s="17">
        <v>171</v>
      </c>
      <c r="M25" s="17"/>
      <c r="N25" s="17"/>
      <c r="O25" s="18"/>
    </row>
    <row r="26" spans="1:15">
      <c r="A26" s="17"/>
      <c r="B26" s="16">
        <v>39930</v>
      </c>
      <c r="C26" s="24"/>
      <c r="D26" s="4">
        <v>330</v>
      </c>
      <c r="E26" s="17"/>
      <c r="F26" s="18"/>
      <c r="I26" s="23"/>
      <c r="J26" s="24">
        <v>39917</v>
      </c>
      <c r="K26" s="17"/>
      <c r="L26" s="17">
        <v>106</v>
      </c>
      <c r="M26" s="17"/>
      <c r="N26" s="17"/>
      <c r="O26" s="18"/>
    </row>
    <row r="27" spans="1:15">
      <c r="A27" s="17"/>
      <c r="B27" s="16">
        <v>39959</v>
      </c>
      <c r="C27" s="24"/>
      <c r="D27" s="4">
        <v>300</v>
      </c>
      <c r="E27" s="17"/>
      <c r="F27" s="18"/>
      <c r="I27" s="23"/>
      <c r="J27" s="24">
        <v>39947</v>
      </c>
      <c r="K27" s="17"/>
      <c r="L27" s="17">
        <v>47</v>
      </c>
      <c r="M27" s="17"/>
      <c r="N27" s="17"/>
      <c r="O27" s="18"/>
    </row>
    <row r="28" spans="1:15">
      <c r="A28" s="17"/>
      <c r="B28" s="16">
        <v>39989</v>
      </c>
      <c r="C28" s="24"/>
      <c r="D28" s="4">
        <v>317</v>
      </c>
      <c r="E28" s="17"/>
      <c r="F28" s="18"/>
      <c r="I28" s="23"/>
      <c r="J28" s="24">
        <v>39979</v>
      </c>
      <c r="K28" s="17"/>
      <c r="L28" s="17">
        <v>34</v>
      </c>
      <c r="M28" s="17"/>
      <c r="N28" s="17"/>
      <c r="O28" s="18"/>
    </row>
    <row r="29" spans="1:15">
      <c r="A29" s="17"/>
      <c r="B29" s="16">
        <v>40021</v>
      </c>
      <c r="C29" s="24"/>
      <c r="D29" s="4">
        <v>343</v>
      </c>
      <c r="E29" s="17"/>
      <c r="F29" s="18"/>
      <c r="I29" s="23"/>
      <c r="J29" s="24">
        <v>40010</v>
      </c>
      <c r="K29" s="17"/>
      <c r="L29" s="17">
        <v>18</v>
      </c>
      <c r="M29" s="17"/>
      <c r="N29" s="17"/>
      <c r="O29" s="18"/>
    </row>
    <row r="30" spans="1:15">
      <c r="A30" s="17"/>
      <c r="B30" s="16">
        <v>40050</v>
      </c>
      <c r="C30" s="24"/>
      <c r="D30" s="4">
        <v>406</v>
      </c>
      <c r="E30" s="17"/>
      <c r="F30" s="18"/>
      <c r="I30" s="23"/>
      <c r="J30" s="24">
        <v>40039</v>
      </c>
      <c r="K30" s="17"/>
      <c r="L30" s="17">
        <v>15</v>
      </c>
      <c r="M30" s="24"/>
      <c r="N30" s="17"/>
      <c r="O30" s="18"/>
    </row>
    <row r="31" spans="1:15">
      <c r="A31" s="17"/>
      <c r="B31" s="16">
        <v>40080</v>
      </c>
      <c r="C31" s="24"/>
      <c r="D31" s="4">
        <v>352</v>
      </c>
      <c r="E31" s="17"/>
      <c r="F31" s="18"/>
      <c r="I31" s="23"/>
      <c r="J31" s="24">
        <v>40071</v>
      </c>
      <c r="K31" s="17"/>
      <c r="L31" s="17">
        <v>20</v>
      </c>
      <c r="M31" s="17"/>
      <c r="N31" s="17"/>
      <c r="O31" s="18"/>
    </row>
    <row r="32" spans="1:15">
      <c r="A32" s="17"/>
      <c r="B32" s="16">
        <v>40108</v>
      </c>
      <c r="C32" s="24"/>
      <c r="D32" s="4">
        <v>306</v>
      </c>
      <c r="E32" s="17"/>
      <c r="F32" s="18"/>
      <c r="I32" s="23"/>
      <c r="J32" s="24">
        <v>40101</v>
      </c>
      <c r="K32" s="17"/>
      <c r="L32" s="17">
        <v>48</v>
      </c>
      <c r="M32" s="17"/>
      <c r="N32" s="17"/>
      <c r="O32" s="18"/>
    </row>
    <row r="33" spans="1:24">
      <c r="A33" s="17"/>
      <c r="B33" s="16">
        <v>40139</v>
      </c>
      <c r="C33" s="24"/>
      <c r="D33" s="4">
        <v>387</v>
      </c>
      <c r="E33" s="17"/>
      <c r="F33" s="18"/>
      <c r="I33" s="23"/>
      <c r="J33" s="24">
        <v>40130</v>
      </c>
      <c r="K33" s="17"/>
      <c r="L33" s="17">
        <v>102</v>
      </c>
      <c r="M33" s="17"/>
      <c r="N33" s="17"/>
      <c r="O33" s="18"/>
    </row>
    <row r="34" spans="1:24">
      <c r="A34" s="17"/>
      <c r="B34" s="16">
        <v>40170</v>
      </c>
      <c r="C34" s="24"/>
      <c r="D34" s="4">
        <v>452</v>
      </c>
      <c r="E34" s="17">
        <f>SUM(D23:D34)</f>
        <v>4443</v>
      </c>
      <c r="F34" s="18" t="s">
        <v>50</v>
      </c>
      <c r="I34" s="23"/>
      <c r="J34" s="24">
        <v>40161</v>
      </c>
      <c r="K34" s="17"/>
      <c r="L34" s="17">
        <v>147</v>
      </c>
      <c r="M34" s="17">
        <f>SUM(L23:L34)</f>
        <v>1164</v>
      </c>
      <c r="N34" s="17" t="s">
        <v>50</v>
      </c>
      <c r="O34" s="18"/>
    </row>
    <row r="35" spans="1:24">
      <c r="A35" s="17"/>
      <c r="B35" s="16">
        <v>40204</v>
      </c>
      <c r="C35" s="24"/>
      <c r="D35" s="4">
        <v>528</v>
      </c>
      <c r="E35" s="17"/>
      <c r="F35" s="18"/>
      <c r="I35" s="23"/>
      <c r="J35" s="24">
        <v>40193</v>
      </c>
      <c r="K35" s="17"/>
      <c r="L35" s="17">
        <v>283</v>
      </c>
      <c r="M35" s="17"/>
      <c r="N35" s="17"/>
      <c r="O35" s="18"/>
    </row>
    <row r="36" spans="1:24">
      <c r="A36" s="17"/>
      <c r="B36" s="16">
        <v>40233</v>
      </c>
      <c r="C36" s="24"/>
      <c r="D36" s="4">
        <v>414</v>
      </c>
      <c r="E36" s="17">
        <f>SUM(D25:D36)</f>
        <v>4509</v>
      </c>
      <c r="F36" s="18" t="s">
        <v>51</v>
      </c>
      <c r="I36" s="23"/>
      <c r="J36" s="24">
        <v>40221</v>
      </c>
      <c r="K36" s="17"/>
      <c r="L36" s="17">
        <v>214</v>
      </c>
      <c r="M36" s="17">
        <f>SUM(L25:L36)</f>
        <v>1205</v>
      </c>
      <c r="N36" s="17" t="s">
        <v>53</v>
      </c>
      <c r="O36" s="18"/>
    </row>
    <row r="37" spans="1:24">
      <c r="A37" s="17"/>
      <c r="B37" s="16">
        <v>40263</v>
      </c>
      <c r="C37" s="24"/>
      <c r="D37" s="17">
        <v>334</v>
      </c>
      <c r="E37" s="4"/>
      <c r="F37" s="18"/>
      <c r="I37" s="23"/>
      <c r="J37" s="24">
        <v>40252</v>
      </c>
      <c r="K37" s="17"/>
      <c r="L37" s="17">
        <v>163</v>
      </c>
      <c r="M37" s="17"/>
      <c r="N37" s="17"/>
      <c r="O37" s="18"/>
    </row>
    <row r="38" spans="1:24">
      <c r="A38" s="17"/>
      <c r="B38" s="16">
        <v>40295</v>
      </c>
      <c r="C38" s="24"/>
      <c r="D38" s="4">
        <v>343</v>
      </c>
      <c r="E38" s="17"/>
      <c r="F38" s="18"/>
      <c r="I38" s="23"/>
      <c r="J38" s="24">
        <v>40282</v>
      </c>
      <c r="K38" s="17"/>
      <c r="L38" s="17">
        <v>71</v>
      </c>
      <c r="M38" s="17"/>
      <c r="N38" s="17"/>
      <c r="O38" s="18"/>
    </row>
    <row r="39" spans="1:24">
      <c r="A39" s="17"/>
      <c r="B39" s="16">
        <v>40323</v>
      </c>
      <c r="C39" s="17"/>
      <c r="D39" s="4">
        <v>316</v>
      </c>
      <c r="E39" s="17"/>
      <c r="F39" s="18"/>
      <c r="I39" s="23"/>
      <c r="J39" s="24">
        <v>40312</v>
      </c>
      <c r="K39" s="17"/>
      <c r="L39" s="17">
        <v>54</v>
      </c>
      <c r="M39" s="17"/>
      <c r="N39" s="17"/>
      <c r="O39" s="18"/>
    </row>
    <row r="40" spans="1:24">
      <c r="A40" s="17"/>
      <c r="B40" s="19">
        <v>40354</v>
      </c>
      <c r="C40" s="20"/>
      <c r="D40" s="27">
        <v>398</v>
      </c>
      <c r="E40" s="20"/>
      <c r="F40" s="21"/>
      <c r="I40" s="23"/>
      <c r="J40" s="24">
        <v>40344</v>
      </c>
      <c r="K40" s="17"/>
      <c r="L40" s="17">
        <v>22</v>
      </c>
      <c r="M40" s="17"/>
      <c r="N40" s="17"/>
      <c r="O40" s="18"/>
    </row>
    <row r="41" spans="1:24">
      <c r="A41" s="17"/>
      <c r="B41" s="24"/>
      <c r="C41" s="17"/>
      <c r="D41" s="17"/>
      <c r="E41" s="17"/>
      <c r="F41" s="17"/>
      <c r="I41" s="28"/>
      <c r="J41" s="20"/>
      <c r="K41" s="20"/>
      <c r="L41" s="20"/>
      <c r="M41" s="20"/>
      <c r="N41" s="20"/>
      <c r="O41" s="21"/>
    </row>
    <row r="42" spans="1:24">
      <c r="A42" s="17"/>
      <c r="B42" s="17"/>
      <c r="C42" s="17"/>
      <c r="D42" s="17"/>
      <c r="E42" s="17"/>
      <c r="F42" s="17"/>
    </row>
    <row r="43" spans="1:24">
      <c r="A43" s="38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5"/>
    </row>
    <row r="44" spans="1:24">
      <c r="A44" s="23"/>
      <c r="B44" s="17"/>
      <c r="C44" s="17" t="s">
        <v>24</v>
      </c>
      <c r="D44" s="17"/>
      <c r="E44" s="32">
        <f>1/E46</f>
        <v>292.99736302373282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8"/>
    </row>
    <row r="45" spans="1:24">
      <c r="A45" s="23"/>
      <c r="B45" s="17"/>
      <c r="C45" s="17" t="s">
        <v>21</v>
      </c>
      <c r="D45" s="17"/>
      <c r="E45" s="39">
        <f>100000/1000000</f>
        <v>0.1</v>
      </c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8"/>
    </row>
    <row r="46" spans="1:24">
      <c r="A46" s="23"/>
      <c r="B46" s="17"/>
      <c r="C46" s="17" t="s">
        <v>20</v>
      </c>
      <c r="D46" s="17"/>
      <c r="E46" s="17">
        <f>3413/1000000</f>
        <v>3.4129999999999998E-3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8"/>
    </row>
    <row r="47" spans="1:24">
      <c r="A47" s="23"/>
      <c r="B47" s="17" t="s">
        <v>23</v>
      </c>
      <c r="C47" s="17"/>
      <c r="D47" s="17"/>
      <c r="E47" s="17">
        <v>3.34</v>
      </c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8"/>
    </row>
    <row r="48" spans="1:24">
      <c r="A48" s="23"/>
      <c r="B48" s="17" t="s">
        <v>22</v>
      </c>
      <c r="C48" s="17"/>
      <c r="D48" s="17"/>
      <c r="E48" s="17">
        <v>1.0469999999999999</v>
      </c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8"/>
    </row>
    <row r="49" spans="1:24">
      <c r="A49" s="40"/>
      <c r="B49" s="4"/>
      <c r="C49" s="4" t="s">
        <v>58</v>
      </c>
      <c r="D49" s="4"/>
      <c r="E49" s="4"/>
      <c r="F49" s="4"/>
      <c r="G49" s="4"/>
      <c r="H49" s="4"/>
      <c r="I49" s="4"/>
      <c r="J49" s="105" t="s">
        <v>1</v>
      </c>
      <c r="K49" s="105"/>
      <c r="L49" s="4" t="s">
        <v>26</v>
      </c>
      <c r="M49" s="4"/>
      <c r="N49" s="4" t="s">
        <v>17</v>
      </c>
      <c r="O49" s="4" t="s">
        <v>18</v>
      </c>
      <c r="P49" s="4"/>
      <c r="Q49" s="4"/>
      <c r="R49" s="4"/>
      <c r="S49" s="4" t="s">
        <v>59</v>
      </c>
      <c r="T49" s="4"/>
      <c r="U49" s="4"/>
      <c r="V49" s="4"/>
      <c r="W49" s="4"/>
      <c r="X49" s="41"/>
    </row>
    <row r="50" spans="1:24">
      <c r="A50" s="40"/>
      <c r="B50" s="4"/>
      <c r="C50" s="4" t="s">
        <v>38</v>
      </c>
      <c r="D50" s="4" t="s">
        <v>17</v>
      </c>
      <c r="E50" s="4" t="s">
        <v>18</v>
      </c>
      <c r="F50" s="4"/>
      <c r="G50" s="4" t="s">
        <v>16</v>
      </c>
      <c r="H50" s="4" t="s">
        <v>19</v>
      </c>
      <c r="I50" s="4"/>
      <c r="J50" s="35" t="s">
        <v>16</v>
      </c>
      <c r="K50" s="35"/>
      <c r="L50" s="4"/>
      <c r="M50" s="4"/>
      <c r="N50" s="4"/>
      <c r="O50" s="4"/>
      <c r="P50" s="4" t="s">
        <v>0</v>
      </c>
      <c r="Q50" s="4" t="s">
        <v>4</v>
      </c>
      <c r="R50" s="4"/>
      <c r="S50" s="4" t="s">
        <v>16</v>
      </c>
      <c r="T50" s="4" t="s">
        <v>19</v>
      </c>
      <c r="U50" s="4"/>
      <c r="V50" s="4" t="s">
        <v>17</v>
      </c>
      <c r="W50" s="4" t="s">
        <v>18</v>
      </c>
      <c r="X50" s="41"/>
    </row>
    <row r="51" spans="1:24">
      <c r="A51" s="40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1"/>
    </row>
    <row r="52" spans="1:24">
      <c r="A52" s="40"/>
      <c r="B52" s="16">
        <v>39839</v>
      </c>
      <c r="C52" s="42">
        <f>L23</f>
        <v>238</v>
      </c>
      <c r="D52" s="42">
        <f>C52*E$45</f>
        <v>23.8</v>
      </c>
      <c r="E52" s="42">
        <f>D52*E$48</f>
        <v>24.918599999999998</v>
      </c>
      <c r="F52" s="4"/>
      <c r="G52" s="42">
        <f>D52*E$44</f>
        <v>6973.3372399648415</v>
      </c>
      <c r="H52" s="42">
        <f>E52*E$44</f>
        <v>7301.0840902431883</v>
      </c>
      <c r="I52" s="42"/>
      <c r="J52" s="35">
        <f>D23</f>
        <v>523</v>
      </c>
      <c r="K52" s="35"/>
      <c r="L52" s="4">
        <f>J52*E$47</f>
        <v>1746.82</v>
      </c>
      <c r="M52" s="4"/>
      <c r="N52" s="42">
        <f>J52*E$46</f>
        <v>1.784999</v>
      </c>
      <c r="O52" s="42">
        <f>L52*E$46</f>
        <v>5.9618966599999998</v>
      </c>
      <c r="P52" s="4">
        <f>HDD!B8</f>
        <v>1407</v>
      </c>
      <c r="Q52" s="4">
        <v>0</v>
      </c>
      <c r="R52" s="4"/>
      <c r="S52" s="42">
        <f>G52+J52</f>
        <v>7496.3372399648415</v>
      </c>
      <c r="T52" s="42">
        <f>H52+L52</f>
        <v>9047.904090243188</v>
      </c>
      <c r="U52" s="42"/>
      <c r="V52" s="42">
        <f>D52+N52</f>
        <v>25.584999</v>
      </c>
      <c r="W52" s="42">
        <f>E52+O52</f>
        <v>30.880496659999999</v>
      </c>
      <c r="X52" s="41"/>
    </row>
    <row r="53" spans="1:24">
      <c r="A53" s="40"/>
      <c r="B53" s="16">
        <v>39868</v>
      </c>
      <c r="C53" s="42">
        <f t="shared" ref="C53:C65" si="0">L24</f>
        <v>218</v>
      </c>
      <c r="D53" s="42">
        <f t="shared" ref="D53:D65" si="1">C53*E$45</f>
        <v>21.8</v>
      </c>
      <c r="E53" s="42">
        <f t="shared" ref="E53:E65" si="2">D53*E$48</f>
        <v>22.8246</v>
      </c>
      <c r="F53" s="4"/>
      <c r="G53" s="42">
        <f t="shared" ref="G53:G65" si="3">D53*E$44</f>
        <v>6387.342513917376</v>
      </c>
      <c r="H53" s="42">
        <f t="shared" ref="H53:H65" si="4">E53*E$44</f>
        <v>6687.547612071492</v>
      </c>
      <c r="I53" s="42"/>
      <c r="J53" s="35">
        <f t="shared" ref="J53:J65" si="5">D24</f>
        <v>353</v>
      </c>
      <c r="K53" s="35"/>
      <c r="L53" s="4">
        <f t="shared" ref="L53:L65" si="6">J53*E$47</f>
        <v>1179.02</v>
      </c>
      <c r="M53" s="4"/>
      <c r="N53" s="42">
        <f t="shared" ref="N53:N65" si="7">J53*E$46</f>
        <v>1.2047889999999999</v>
      </c>
      <c r="O53" s="42">
        <f t="shared" ref="O53:O65" si="8">L53*E$46</f>
        <v>4.0239952599999995</v>
      </c>
      <c r="P53" s="4">
        <f>HDD!B9</f>
        <v>1017</v>
      </c>
      <c r="Q53" s="4">
        <v>0</v>
      </c>
      <c r="R53" s="4"/>
      <c r="S53" s="42">
        <f t="shared" ref="S53:S65" si="9">G53+J53</f>
        <v>6740.342513917376</v>
      </c>
      <c r="T53" s="42">
        <f t="shared" ref="T53:T65" si="10">H53+L53</f>
        <v>7866.5676120714925</v>
      </c>
      <c r="U53" s="42"/>
      <c r="V53" s="42">
        <f t="shared" ref="V53:V65" si="11">D53+N53</f>
        <v>23.004789000000002</v>
      </c>
      <c r="W53" s="42">
        <f t="shared" ref="W53:W65" si="12">E53+O53</f>
        <v>26.84859526</v>
      </c>
      <c r="X53" s="41"/>
    </row>
    <row r="54" spans="1:24">
      <c r="A54" s="40"/>
      <c r="B54" s="16">
        <v>39898</v>
      </c>
      <c r="C54" s="42">
        <f t="shared" si="0"/>
        <v>171</v>
      </c>
      <c r="D54" s="42">
        <f t="shared" si="1"/>
        <v>17.100000000000001</v>
      </c>
      <c r="E54" s="42">
        <f t="shared" si="2"/>
        <v>17.903700000000001</v>
      </c>
      <c r="F54" s="4"/>
      <c r="G54" s="42">
        <f t="shared" si="3"/>
        <v>5010.254907705832</v>
      </c>
      <c r="H54" s="42">
        <f t="shared" si="4"/>
        <v>5245.7368883680056</v>
      </c>
      <c r="I54" s="42"/>
      <c r="J54" s="35">
        <f t="shared" si="5"/>
        <v>374</v>
      </c>
      <c r="K54" s="35"/>
      <c r="L54" s="4">
        <f t="shared" si="6"/>
        <v>1249.1599999999999</v>
      </c>
      <c r="M54" s="4"/>
      <c r="N54" s="42">
        <f t="shared" si="7"/>
        <v>1.276462</v>
      </c>
      <c r="O54" s="42">
        <f t="shared" si="8"/>
        <v>4.2633830799999997</v>
      </c>
      <c r="P54" s="4">
        <f>HDD!B10</f>
        <v>890</v>
      </c>
      <c r="Q54" s="4">
        <v>0</v>
      </c>
      <c r="R54" s="4"/>
      <c r="S54" s="42">
        <f t="shared" si="9"/>
        <v>5384.254907705832</v>
      </c>
      <c r="T54" s="42">
        <f t="shared" si="10"/>
        <v>6494.8968883680054</v>
      </c>
      <c r="U54" s="42"/>
      <c r="V54" s="42">
        <f t="shared" si="11"/>
        <v>18.376462</v>
      </c>
      <c r="W54" s="42">
        <f t="shared" si="12"/>
        <v>22.167083080000001</v>
      </c>
      <c r="X54" s="41"/>
    </row>
    <row r="55" spans="1:24">
      <c r="A55" s="40"/>
      <c r="B55" s="16">
        <v>39930</v>
      </c>
      <c r="C55" s="42">
        <f t="shared" si="0"/>
        <v>106</v>
      </c>
      <c r="D55" s="42">
        <f t="shared" si="1"/>
        <v>10.600000000000001</v>
      </c>
      <c r="E55" s="42">
        <f t="shared" si="2"/>
        <v>11.0982</v>
      </c>
      <c r="F55" s="4"/>
      <c r="G55" s="42">
        <f t="shared" si="3"/>
        <v>3105.7720480515682</v>
      </c>
      <c r="H55" s="42">
        <f t="shared" si="4"/>
        <v>3251.7433343099915</v>
      </c>
      <c r="I55" s="42"/>
      <c r="J55" s="35">
        <f t="shared" si="5"/>
        <v>330</v>
      </c>
      <c r="K55" s="35"/>
      <c r="L55" s="4">
        <f t="shared" si="6"/>
        <v>1102.2</v>
      </c>
      <c r="M55" s="4"/>
      <c r="N55" s="42">
        <f t="shared" si="7"/>
        <v>1.12629</v>
      </c>
      <c r="O55" s="42">
        <f t="shared" si="8"/>
        <v>3.7618085999999997</v>
      </c>
      <c r="P55" s="4">
        <f>HDD!B11</f>
        <v>478</v>
      </c>
      <c r="Q55" s="4">
        <v>0</v>
      </c>
      <c r="R55" s="4"/>
      <c r="S55" s="42">
        <f t="shared" si="9"/>
        <v>3435.7720480515682</v>
      </c>
      <c r="T55" s="42">
        <f t="shared" si="10"/>
        <v>4353.9433343099918</v>
      </c>
      <c r="U55" s="42"/>
      <c r="V55" s="42">
        <f t="shared" si="11"/>
        <v>11.726290000000002</v>
      </c>
      <c r="W55" s="42">
        <f t="shared" si="12"/>
        <v>14.8600086</v>
      </c>
      <c r="X55" s="41"/>
    </row>
    <row r="56" spans="1:24">
      <c r="A56" s="40"/>
      <c r="B56" s="16">
        <v>39959</v>
      </c>
      <c r="C56" s="42">
        <f t="shared" si="0"/>
        <v>47</v>
      </c>
      <c r="D56" s="42">
        <f t="shared" si="1"/>
        <v>4.7</v>
      </c>
      <c r="E56" s="42">
        <f t="shared" si="2"/>
        <v>4.9208999999999996</v>
      </c>
      <c r="F56" s="4"/>
      <c r="G56" s="42">
        <f t="shared" si="3"/>
        <v>1377.0876062115442</v>
      </c>
      <c r="H56" s="42">
        <f t="shared" si="4"/>
        <v>1441.8107237034867</v>
      </c>
      <c r="I56" s="42"/>
      <c r="J56" s="35">
        <f t="shared" si="5"/>
        <v>300</v>
      </c>
      <c r="K56" s="35"/>
      <c r="L56" s="4">
        <f t="shared" si="6"/>
        <v>1002</v>
      </c>
      <c r="M56" s="4"/>
      <c r="N56" s="42">
        <f t="shared" si="7"/>
        <v>1.0239</v>
      </c>
      <c r="O56" s="42">
        <f t="shared" si="8"/>
        <v>3.4198259999999996</v>
      </c>
      <c r="P56" s="4">
        <f>HDD!B12</f>
        <v>260</v>
      </c>
      <c r="Q56" s="4">
        <v>0</v>
      </c>
      <c r="R56" s="4"/>
      <c r="S56" s="42">
        <f t="shared" si="9"/>
        <v>1677.0876062115442</v>
      </c>
      <c r="T56" s="42">
        <f t="shared" si="10"/>
        <v>2443.8107237034865</v>
      </c>
      <c r="U56" s="42"/>
      <c r="V56" s="42">
        <f t="shared" si="11"/>
        <v>5.7239000000000004</v>
      </c>
      <c r="W56" s="42">
        <f t="shared" si="12"/>
        <v>8.3407260000000001</v>
      </c>
      <c r="X56" s="41"/>
    </row>
    <row r="57" spans="1:24">
      <c r="A57" s="40"/>
      <c r="B57" s="16">
        <v>39989</v>
      </c>
      <c r="C57" s="42">
        <f t="shared" si="0"/>
        <v>34</v>
      </c>
      <c r="D57" s="42">
        <f t="shared" si="1"/>
        <v>3.4000000000000004</v>
      </c>
      <c r="E57" s="42">
        <f t="shared" si="2"/>
        <v>3.5598000000000001</v>
      </c>
      <c r="F57" s="4"/>
      <c r="G57" s="42">
        <f t="shared" si="3"/>
        <v>996.19103428069172</v>
      </c>
      <c r="H57" s="42">
        <f t="shared" si="4"/>
        <v>1043.0120128918841</v>
      </c>
      <c r="I57" s="42"/>
      <c r="J57" s="35">
        <f t="shared" si="5"/>
        <v>317</v>
      </c>
      <c r="K57" s="35"/>
      <c r="L57" s="4">
        <f t="shared" si="6"/>
        <v>1058.78</v>
      </c>
      <c r="M57" s="4"/>
      <c r="N57" s="42">
        <f t="shared" si="7"/>
        <v>1.0819209999999999</v>
      </c>
      <c r="O57" s="42">
        <f t="shared" si="8"/>
        <v>3.6136161399999995</v>
      </c>
      <c r="P57" s="4">
        <f>HDD!B13</f>
        <v>95</v>
      </c>
      <c r="Q57" s="4">
        <v>0</v>
      </c>
      <c r="R57" s="4"/>
      <c r="S57" s="42">
        <f t="shared" si="9"/>
        <v>1313.1910342806918</v>
      </c>
      <c r="T57" s="42">
        <f t="shared" si="10"/>
        <v>2101.792012891884</v>
      </c>
      <c r="U57" s="42"/>
      <c r="V57" s="42">
        <f t="shared" si="11"/>
        <v>4.4819209999999998</v>
      </c>
      <c r="W57" s="42">
        <f t="shared" si="12"/>
        <v>7.1734161399999996</v>
      </c>
      <c r="X57" s="41"/>
    </row>
    <row r="58" spans="1:24">
      <c r="A58" s="40"/>
      <c r="B58" s="16">
        <v>40021</v>
      </c>
      <c r="C58" s="42">
        <f t="shared" si="0"/>
        <v>18</v>
      </c>
      <c r="D58" s="42">
        <f t="shared" si="1"/>
        <v>1.8</v>
      </c>
      <c r="E58" s="42">
        <f t="shared" si="2"/>
        <v>1.8845999999999998</v>
      </c>
      <c r="F58" s="4"/>
      <c r="G58" s="42">
        <f t="shared" si="3"/>
        <v>527.39525344271908</v>
      </c>
      <c r="H58" s="42">
        <f t="shared" si="4"/>
        <v>552.1828303545268</v>
      </c>
      <c r="I58" s="42"/>
      <c r="J58" s="35">
        <f t="shared" si="5"/>
        <v>343</v>
      </c>
      <c r="K58" s="35"/>
      <c r="L58" s="4">
        <f t="shared" si="6"/>
        <v>1145.6199999999999</v>
      </c>
      <c r="M58" s="4"/>
      <c r="N58" s="42">
        <f t="shared" si="7"/>
        <v>1.1706589999999999</v>
      </c>
      <c r="O58" s="42">
        <f t="shared" si="8"/>
        <v>3.9100010599999995</v>
      </c>
      <c r="P58" s="4">
        <f>HDD!B14</f>
        <v>52</v>
      </c>
      <c r="Q58" s="4">
        <v>0</v>
      </c>
      <c r="R58" s="4"/>
      <c r="S58" s="42">
        <f t="shared" si="9"/>
        <v>870.39525344271908</v>
      </c>
      <c r="T58" s="42">
        <f t="shared" si="10"/>
        <v>1697.8028303545266</v>
      </c>
      <c r="U58" s="42"/>
      <c r="V58" s="42">
        <f t="shared" si="11"/>
        <v>2.9706589999999999</v>
      </c>
      <c r="W58" s="42">
        <f t="shared" si="12"/>
        <v>5.7946010599999997</v>
      </c>
      <c r="X58" s="41"/>
    </row>
    <row r="59" spans="1:24">
      <c r="A59" s="40"/>
      <c r="B59" s="16">
        <v>40050</v>
      </c>
      <c r="C59" s="42">
        <f t="shared" si="0"/>
        <v>15</v>
      </c>
      <c r="D59" s="42">
        <f t="shared" si="1"/>
        <v>1.5</v>
      </c>
      <c r="E59" s="42">
        <f t="shared" si="2"/>
        <v>1.5705</v>
      </c>
      <c r="F59" s="4"/>
      <c r="G59" s="42">
        <f t="shared" si="3"/>
        <v>439.49604453559925</v>
      </c>
      <c r="H59" s="42">
        <f t="shared" si="4"/>
        <v>460.15235862877239</v>
      </c>
      <c r="I59" s="42"/>
      <c r="J59" s="35">
        <f t="shared" si="5"/>
        <v>406</v>
      </c>
      <c r="K59" s="35"/>
      <c r="L59" s="4">
        <f t="shared" si="6"/>
        <v>1356.04</v>
      </c>
      <c r="M59" s="4"/>
      <c r="N59" s="42">
        <f t="shared" si="7"/>
        <v>1.385678</v>
      </c>
      <c r="O59" s="42">
        <f t="shared" si="8"/>
        <v>4.6281645199999994</v>
      </c>
      <c r="P59" s="4">
        <f>HDD!B15</f>
        <v>40</v>
      </c>
      <c r="Q59" s="4">
        <f t="shared" ref="Q59:Q65" si="13">B86</f>
        <v>0</v>
      </c>
      <c r="R59" s="4"/>
      <c r="S59" s="42">
        <f t="shared" si="9"/>
        <v>845.49604453559925</v>
      </c>
      <c r="T59" s="42">
        <f t="shared" si="10"/>
        <v>1816.1923586287724</v>
      </c>
      <c r="U59" s="42"/>
      <c r="V59" s="42">
        <f t="shared" si="11"/>
        <v>2.885678</v>
      </c>
      <c r="W59" s="42">
        <f t="shared" si="12"/>
        <v>6.1986645199999995</v>
      </c>
      <c r="X59" s="41"/>
    </row>
    <row r="60" spans="1:24">
      <c r="A60" s="40"/>
      <c r="B60" s="16">
        <v>40080</v>
      </c>
      <c r="C60" s="42">
        <f t="shared" si="0"/>
        <v>20</v>
      </c>
      <c r="D60" s="42">
        <f t="shared" si="1"/>
        <v>2</v>
      </c>
      <c r="E60" s="42">
        <f t="shared" si="2"/>
        <v>2.0939999999999999</v>
      </c>
      <c r="F60" s="4"/>
      <c r="G60" s="42">
        <f t="shared" si="3"/>
        <v>585.99472604746563</v>
      </c>
      <c r="H60" s="42">
        <f t="shared" si="4"/>
        <v>613.53647817169644</v>
      </c>
      <c r="I60" s="42"/>
      <c r="J60" s="35">
        <f t="shared" si="5"/>
        <v>352</v>
      </c>
      <c r="K60" s="35"/>
      <c r="L60" s="4">
        <f t="shared" si="6"/>
        <v>1175.6799999999998</v>
      </c>
      <c r="M60" s="4"/>
      <c r="N60" s="42">
        <f t="shared" si="7"/>
        <v>1.201376</v>
      </c>
      <c r="O60" s="42">
        <f t="shared" si="8"/>
        <v>4.0125958399999995</v>
      </c>
      <c r="P60" s="4">
        <f>HDD!B16</f>
        <v>200</v>
      </c>
      <c r="Q60" s="4">
        <f t="shared" si="13"/>
        <v>0</v>
      </c>
      <c r="R60" s="4"/>
      <c r="S60" s="42">
        <f t="shared" si="9"/>
        <v>937.99472604746563</v>
      </c>
      <c r="T60" s="42">
        <f t="shared" si="10"/>
        <v>1789.2164781716963</v>
      </c>
      <c r="U60" s="42"/>
      <c r="V60" s="42">
        <f t="shared" si="11"/>
        <v>3.2013759999999998</v>
      </c>
      <c r="W60" s="42">
        <f t="shared" si="12"/>
        <v>6.1065958399999989</v>
      </c>
      <c r="X60" s="41"/>
    </row>
    <row r="61" spans="1:24">
      <c r="A61" s="40"/>
      <c r="B61" s="16">
        <v>40108</v>
      </c>
      <c r="C61" s="42">
        <f t="shared" si="0"/>
        <v>48</v>
      </c>
      <c r="D61" s="42">
        <f t="shared" si="1"/>
        <v>4.8000000000000007</v>
      </c>
      <c r="E61" s="42">
        <f t="shared" si="2"/>
        <v>5.0256000000000007</v>
      </c>
      <c r="F61" s="4"/>
      <c r="G61" s="42">
        <f t="shared" si="3"/>
        <v>1406.3873425139177</v>
      </c>
      <c r="H61" s="42">
        <f t="shared" si="4"/>
        <v>1472.4875476120719</v>
      </c>
      <c r="I61" s="42"/>
      <c r="J61" s="35">
        <f t="shared" si="5"/>
        <v>306</v>
      </c>
      <c r="K61" s="35"/>
      <c r="L61" s="4">
        <f t="shared" si="6"/>
        <v>1022.04</v>
      </c>
      <c r="M61" s="4"/>
      <c r="N61" s="42">
        <f t="shared" si="7"/>
        <v>1.044378</v>
      </c>
      <c r="O61" s="42">
        <f t="shared" si="8"/>
        <v>3.4882225199999999</v>
      </c>
      <c r="P61" s="4">
        <f>HDD!B17</f>
        <v>524</v>
      </c>
      <c r="Q61" s="4">
        <f t="shared" si="13"/>
        <v>0</v>
      </c>
      <c r="R61" s="4"/>
      <c r="S61" s="42">
        <f t="shared" si="9"/>
        <v>1712.3873425139177</v>
      </c>
      <c r="T61" s="42">
        <f t="shared" si="10"/>
        <v>2494.5275476120719</v>
      </c>
      <c r="U61" s="42"/>
      <c r="V61" s="42">
        <f t="shared" si="11"/>
        <v>5.8443780000000007</v>
      </c>
      <c r="W61" s="42">
        <f t="shared" si="12"/>
        <v>8.5138225200000015</v>
      </c>
      <c r="X61" s="41"/>
    </row>
    <row r="62" spans="1:24">
      <c r="A62" s="40"/>
      <c r="B62" s="16">
        <v>40139</v>
      </c>
      <c r="C62" s="42">
        <f t="shared" si="0"/>
        <v>102</v>
      </c>
      <c r="D62" s="42">
        <f t="shared" si="1"/>
        <v>10.200000000000001</v>
      </c>
      <c r="E62" s="42">
        <f t="shared" si="2"/>
        <v>10.679400000000001</v>
      </c>
      <c r="F62" s="4"/>
      <c r="G62" s="42">
        <f t="shared" si="3"/>
        <v>2988.5731028420751</v>
      </c>
      <c r="H62" s="42">
        <f t="shared" si="4"/>
        <v>3129.0360386756524</v>
      </c>
      <c r="I62" s="42"/>
      <c r="J62" s="35">
        <f t="shared" si="5"/>
        <v>387</v>
      </c>
      <c r="K62" s="35"/>
      <c r="L62" s="4">
        <f t="shared" si="6"/>
        <v>1292.58</v>
      </c>
      <c r="M62" s="4"/>
      <c r="N62" s="42">
        <f t="shared" si="7"/>
        <v>1.3208309999999999</v>
      </c>
      <c r="O62" s="42">
        <f t="shared" si="8"/>
        <v>4.4115755399999994</v>
      </c>
      <c r="P62" s="4">
        <f>HDD!B18</f>
        <v>596</v>
      </c>
      <c r="Q62" s="4">
        <f t="shared" si="13"/>
        <v>0</v>
      </c>
      <c r="R62" s="4"/>
      <c r="S62" s="42">
        <f t="shared" si="9"/>
        <v>3375.5731028420751</v>
      </c>
      <c r="T62" s="42">
        <f t="shared" si="10"/>
        <v>4421.6160386756528</v>
      </c>
      <c r="U62" s="42"/>
      <c r="V62" s="42">
        <f t="shared" si="11"/>
        <v>11.520831000000001</v>
      </c>
      <c r="W62" s="42">
        <f t="shared" si="12"/>
        <v>15.090975540000001</v>
      </c>
      <c r="X62" s="41"/>
    </row>
    <row r="63" spans="1:24">
      <c r="A63" s="40"/>
      <c r="B63" s="16">
        <v>40170</v>
      </c>
      <c r="C63" s="42">
        <f t="shared" si="0"/>
        <v>147</v>
      </c>
      <c r="D63" s="42">
        <f t="shared" si="1"/>
        <v>14.700000000000001</v>
      </c>
      <c r="E63" s="42">
        <f t="shared" si="2"/>
        <v>15.3909</v>
      </c>
      <c r="F63" s="4"/>
      <c r="G63" s="42">
        <f t="shared" si="3"/>
        <v>4307.0612364488725</v>
      </c>
      <c r="H63" s="42">
        <f t="shared" si="4"/>
        <v>4509.4931145619694</v>
      </c>
      <c r="I63" s="42"/>
      <c r="J63" s="35">
        <f t="shared" si="5"/>
        <v>452</v>
      </c>
      <c r="K63" s="35"/>
      <c r="L63" s="4">
        <f t="shared" si="6"/>
        <v>1509.6799999999998</v>
      </c>
      <c r="M63" s="4"/>
      <c r="N63" s="42">
        <f t="shared" si="7"/>
        <v>1.5426759999999999</v>
      </c>
      <c r="O63" s="42">
        <f t="shared" si="8"/>
        <v>5.152537839999999</v>
      </c>
      <c r="P63" s="4">
        <f>HDD!B19</f>
        <v>1125</v>
      </c>
      <c r="Q63" s="4">
        <f t="shared" si="13"/>
        <v>0</v>
      </c>
      <c r="R63" s="4"/>
      <c r="S63" s="42">
        <f t="shared" si="9"/>
        <v>4759.0612364488725</v>
      </c>
      <c r="T63" s="42">
        <f t="shared" si="10"/>
        <v>6019.1731145619688</v>
      </c>
      <c r="U63" s="42"/>
      <c r="V63" s="42">
        <f t="shared" si="11"/>
        <v>16.242675999999999</v>
      </c>
      <c r="W63" s="42">
        <f t="shared" si="12"/>
        <v>20.543437839999999</v>
      </c>
      <c r="X63" s="41"/>
    </row>
    <row r="64" spans="1:24">
      <c r="A64" s="40"/>
      <c r="B64" s="16">
        <v>40204</v>
      </c>
      <c r="C64" s="42">
        <f t="shared" si="0"/>
        <v>283</v>
      </c>
      <c r="D64" s="42">
        <f t="shared" si="1"/>
        <v>28.3</v>
      </c>
      <c r="E64" s="42">
        <f t="shared" si="2"/>
        <v>29.630099999999999</v>
      </c>
      <c r="F64" s="4"/>
      <c r="G64" s="42">
        <f t="shared" si="3"/>
        <v>8291.8253735716389</v>
      </c>
      <c r="H64" s="42">
        <f t="shared" si="4"/>
        <v>8681.5411661295057</v>
      </c>
      <c r="I64" s="42"/>
      <c r="J64" s="35">
        <f t="shared" si="5"/>
        <v>528</v>
      </c>
      <c r="K64" s="35"/>
      <c r="L64" s="4">
        <f t="shared" si="6"/>
        <v>1763.52</v>
      </c>
      <c r="M64" s="4"/>
      <c r="N64" s="42">
        <f t="shared" si="7"/>
        <v>1.8020639999999999</v>
      </c>
      <c r="O64" s="42">
        <f t="shared" si="8"/>
        <v>6.0188937599999992</v>
      </c>
      <c r="P64" s="4">
        <f>HDD!B20</f>
        <v>1199</v>
      </c>
      <c r="Q64" s="4">
        <f t="shared" si="13"/>
        <v>0</v>
      </c>
      <c r="R64" s="4"/>
      <c r="S64" s="42">
        <f t="shared" si="9"/>
        <v>8819.8253735716389</v>
      </c>
      <c r="T64" s="42">
        <f t="shared" si="10"/>
        <v>10445.061166129506</v>
      </c>
      <c r="U64" s="42"/>
      <c r="V64" s="42">
        <f t="shared" si="11"/>
        <v>30.102064000000002</v>
      </c>
      <c r="W64" s="42">
        <f t="shared" si="12"/>
        <v>35.648993759999996</v>
      </c>
      <c r="X64" s="41"/>
    </row>
    <row r="65" spans="1:24">
      <c r="A65" s="40"/>
      <c r="B65" s="16">
        <v>40233</v>
      </c>
      <c r="C65" s="42">
        <f t="shared" si="0"/>
        <v>214</v>
      </c>
      <c r="D65" s="42">
        <f t="shared" si="1"/>
        <v>21.400000000000002</v>
      </c>
      <c r="E65" s="42">
        <f t="shared" si="2"/>
        <v>22.405799999999999</v>
      </c>
      <c r="F65" s="4"/>
      <c r="G65" s="42">
        <f t="shared" si="3"/>
        <v>6270.1435687078829</v>
      </c>
      <c r="H65" s="42">
        <f t="shared" si="4"/>
        <v>6564.840316437153</v>
      </c>
      <c r="I65" s="42"/>
      <c r="J65" s="35">
        <f t="shared" si="5"/>
        <v>414</v>
      </c>
      <c r="K65" s="35"/>
      <c r="L65" s="4">
        <f t="shared" si="6"/>
        <v>1382.76</v>
      </c>
      <c r="M65" s="4"/>
      <c r="N65" s="42">
        <f t="shared" si="7"/>
        <v>1.412982</v>
      </c>
      <c r="O65" s="42">
        <f t="shared" si="8"/>
        <v>4.7193598799999998</v>
      </c>
      <c r="P65" s="4">
        <f>HDD!B21</f>
        <v>997</v>
      </c>
      <c r="Q65" s="4">
        <f t="shared" si="13"/>
        <v>0</v>
      </c>
      <c r="R65" s="4"/>
      <c r="S65" s="42">
        <f t="shared" si="9"/>
        <v>6684.1435687078829</v>
      </c>
      <c r="T65" s="42">
        <f t="shared" si="10"/>
        <v>7947.6003164371532</v>
      </c>
      <c r="U65" s="42"/>
      <c r="V65" s="42">
        <f t="shared" si="11"/>
        <v>22.812982000000002</v>
      </c>
      <c r="W65" s="42">
        <f t="shared" si="12"/>
        <v>27.125159879999998</v>
      </c>
      <c r="X65" s="41"/>
    </row>
    <row r="66" spans="1:24">
      <c r="A66" s="40"/>
      <c r="B66" s="19"/>
      <c r="C66" s="42"/>
      <c r="D66" s="42"/>
      <c r="E66" s="42"/>
      <c r="F66" s="4"/>
      <c r="G66" s="42"/>
      <c r="H66" s="42"/>
      <c r="I66" s="42"/>
      <c r="J66" s="35"/>
      <c r="K66" s="4"/>
      <c r="L66" s="4"/>
      <c r="M66" s="4"/>
      <c r="N66" s="42"/>
      <c r="O66" s="42"/>
      <c r="P66" s="4"/>
      <c r="Q66" s="4"/>
      <c r="R66" s="4"/>
      <c r="S66" s="42"/>
      <c r="T66" s="42"/>
      <c r="U66" s="42"/>
      <c r="V66" s="42"/>
      <c r="W66" s="42"/>
      <c r="X66" s="41"/>
    </row>
    <row r="67" spans="1:24">
      <c r="A67" s="40"/>
      <c r="B67" s="19"/>
      <c r="C67" s="42">
        <f>SUM(C52:C63)</f>
        <v>1164</v>
      </c>
      <c r="D67" s="42"/>
      <c r="E67" s="42">
        <f>SUM(E52:E63)</f>
        <v>121.8708</v>
      </c>
      <c r="F67" s="4"/>
      <c r="G67" s="42"/>
      <c r="H67" s="42"/>
      <c r="I67" s="42"/>
      <c r="J67" s="42">
        <f>SUM(J52:J63)</f>
        <v>4443</v>
      </c>
      <c r="K67" s="4"/>
      <c r="L67" s="4"/>
      <c r="M67" s="4"/>
      <c r="N67" s="42"/>
      <c r="O67" s="42">
        <f>SUM(O52:O63)</f>
        <v>50.647623060000001</v>
      </c>
      <c r="P67" s="4"/>
      <c r="Q67" s="4"/>
      <c r="R67" s="4"/>
      <c r="S67" s="42"/>
      <c r="T67" s="42"/>
      <c r="U67" s="42"/>
      <c r="V67" s="42"/>
      <c r="W67" s="42"/>
      <c r="X67" s="41"/>
    </row>
    <row r="68" spans="1:24">
      <c r="A68" s="40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1"/>
    </row>
    <row r="69" spans="1:24">
      <c r="A69" s="40"/>
      <c r="B69" s="4"/>
      <c r="C69" s="4"/>
      <c r="D69" s="4"/>
      <c r="E69" s="4"/>
      <c r="F69" s="4"/>
      <c r="G69" s="4"/>
      <c r="H69" s="4"/>
      <c r="I69" s="4"/>
      <c r="J69" s="42"/>
      <c r="K69" s="42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2"/>
      <c r="X69" s="43"/>
    </row>
    <row r="70" spans="1:24">
      <c r="A70" s="40"/>
      <c r="B70" s="4"/>
      <c r="C70" s="106" t="s">
        <v>72</v>
      </c>
      <c r="D70" s="106"/>
      <c r="E70" s="106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 t="s">
        <v>16</v>
      </c>
      <c r="T70" s="4" t="s">
        <v>19</v>
      </c>
      <c r="U70" s="4"/>
      <c r="V70" s="4" t="s">
        <v>17</v>
      </c>
      <c r="W70" s="4" t="s">
        <v>18</v>
      </c>
      <c r="X70" s="41"/>
    </row>
    <row r="71" spans="1:24" ht="26.25">
      <c r="A71" s="23"/>
      <c r="B71" s="17"/>
      <c r="C71" s="93"/>
      <c r="D71" s="93" t="s">
        <v>74</v>
      </c>
      <c r="E71" s="93" t="s">
        <v>75</v>
      </c>
      <c r="F71" s="93" t="s">
        <v>78</v>
      </c>
      <c r="G71" s="93" t="s">
        <v>76</v>
      </c>
      <c r="H71" s="93"/>
      <c r="I71" s="93" t="s">
        <v>76</v>
      </c>
      <c r="J71" s="17"/>
      <c r="K71" s="17"/>
      <c r="L71" s="17"/>
      <c r="M71" s="17"/>
      <c r="N71" s="17"/>
      <c r="O71" s="17"/>
      <c r="P71" s="17"/>
      <c r="Q71" s="50" t="s">
        <v>60</v>
      </c>
      <c r="R71" s="51"/>
      <c r="S71" s="54">
        <f>SUM(S52:S63)</f>
        <v>38547.893055962501</v>
      </c>
      <c r="T71" s="54">
        <f t="shared" ref="T71:W71" si="14">SUM(T52:T63)</f>
        <v>50547.443029592738</v>
      </c>
      <c r="U71" s="54"/>
      <c r="V71" s="54">
        <f t="shared" si="14"/>
        <v>131.56395900000001</v>
      </c>
      <c r="W71" s="55">
        <f t="shared" si="14"/>
        <v>172.51842305999998</v>
      </c>
      <c r="X71" s="18"/>
    </row>
    <row r="72" spans="1:24">
      <c r="A72" s="28"/>
      <c r="B72" s="17"/>
      <c r="C72" s="94"/>
      <c r="D72" s="94"/>
      <c r="E72" s="94"/>
      <c r="F72" s="17" t="s">
        <v>79</v>
      </c>
      <c r="G72" s="17" t="s">
        <v>80</v>
      </c>
      <c r="H72" s="20"/>
      <c r="I72" s="20" t="s">
        <v>81</v>
      </c>
      <c r="J72" s="20"/>
      <c r="K72" s="20"/>
      <c r="L72" s="20"/>
      <c r="M72" s="20"/>
      <c r="N72" s="20"/>
      <c r="O72" s="20"/>
      <c r="P72" s="20"/>
      <c r="Q72" s="20" t="s">
        <v>53</v>
      </c>
      <c r="R72" s="20"/>
      <c r="S72" s="34">
        <f>SUM(S54:S65)</f>
        <v>39815.182244359807</v>
      </c>
      <c r="T72" s="34">
        <f t="shared" ref="T72:W72" si="15">SUM(T54:T65)</f>
        <v>52025.632809844712</v>
      </c>
      <c r="U72" s="34"/>
      <c r="V72" s="34">
        <f t="shared" si="15"/>
        <v>135.889217</v>
      </c>
      <c r="W72" s="34">
        <f t="shared" si="15"/>
        <v>177.56348478000001</v>
      </c>
      <c r="X72" s="21"/>
    </row>
    <row r="73" spans="1:24">
      <c r="B73" s="17"/>
      <c r="C73" s="95"/>
      <c r="D73" s="82"/>
      <c r="E73" s="82"/>
      <c r="F73" s="17" t="s">
        <v>77</v>
      </c>
      <c r="G73" s="17"/>
      <c r="H73" s="17"/>
      <c r="I73" s="17"/>
    </row>
    <row r="74" spans="1:24">
      <c r="B74" s="16">
        <v>39839</v>
      </c>
      <c r="C74" s="89"/>
      <c r="D74" s="82">
        <v>0</v>
      </c>
      <c r="E74" s="82">
        <v>1481</v>
      </c>
      <c r="F74" s="32">
        <f>0.0165*(E74)+0.5266</f>
        <v>24.963100000000001</v>
      </c>
      <c r="G74" s="32">
        <f>F74+N52</f>
        <v>26.748099</v>
      </c>
      <c r="H74" s="17"/>
      <c r="I74" s="32">
        <f>'Energy Use'!$E$6*F74+'Energy Use'!$E$5*N52</f>
        <v>32.09826236</v>
      </c>
    </row>
    <row r="75" spans="1:24">
      <c r="B75" s="16">
        <v>39868</v>
      </c>
      <c r="C75" s="89"/>
      <c r="D75" s="82">
        <v>0</v>
      </c>
      <c r="E75" s="82">
        <v>1121</v>
      </c>
      <c r="F75" s="32">
        <f t="shared" ref="F75:F85" si="16">0.0165*(E75)+0.5266</f>
        <v>19.023099999999999</v>
      </c>
      <c r="G75" s="32">
        <f t="shared" ref="G75:G85" si="17">F75+N53</f>
        <v>20.227888999999998</v>
      </c>
      <c r="H75" s="17"/>
      <c r="I75" s="32">
        <f>'Energy Use'!$E$6*F75+'Energy Use'!$E$5*N53</f>
        <v>23.941180959999997</v>
      </c>
    </row>
    <row r="76" spans="1:24">
      <c r="B76" s="16">
        <v>39898</v>
      </c>
      <c r="C76" s="89"/>
      <c r="D76" s="82">
        <v>0</v>
      </c>
      <c r="E76" s="82">
        <v>749</v>
      </c>
      <c r="F76" s="32">
        <f t="shared" si="16"/>
        <v>12.885100000000001</v>
      </c>
      <c r="G76" s="32">
        <f t="shared" si="17"/>
        <v>14.161562000000002</v>
      </c>
      <c r="H76" s="17"/>
      <c r="I76" s="32">
        <f>'Energy Use'!$E$6*F76+'Energy Use'!$E$5*N54</f>
        <v>17.754082780000001</v>
      </c>
    </row>
    <row r="77" spans="1:24">
      <c r="B77" s="16">
        <v>39930</v>
      </c>
      <c r="C77" s="89"/>
      <c r="D77" s="82">
        <v>0</v>
      </c>
      <c r="E77" s="82">
        <v>566</v>
      </c>
      <c r="F77" s="32">
        <f t="shared" si="16"/>
        <v>9.8656000000000006</v>
      </c>
      <c r="G77" s="32">
        <f t="shared" si="17"/>
        <v>10.991890000000001</v>
      </c>
      <c r="H77" s="17"/>
      <c r="I77" s="32">
        <f>'Energy Use'!$E$6*F77+'Energy Use'!$E$5*N55</f>
        <v>14.091091800000001</v>
      </c>
    </row>
    <row r="78" spans="1:24">
      <c r="B78" s="16">
        <v>39959</v>
      </c>
      <c r="C78" s="89"/>
      <c r="D78" s="82">
        <v>11</v>
      </c>
      <c r="E78" s="82">
        <v>237</v>
      </c>
      <c r="F78" s="32">
        <f t="shared" si="16"/>
        <v>4.4371</v>
      </c>
      <c r="G78" s="32">
        <f t="shared" si="17"/>
        <v>5.4610000000000003</v>
      </c>
      <c r="H78" s="17"/>
      <c r="I78" s="32">
        <f>'Energy Use'!$E$6*F78+'Energy Use'!$E$5*N56</f>
        <v>8.0654696999999995</v>
      </c>
    </row>
    <row r="79" spans="1:24">
      <c r="B79" s="16">
        <v>39989</v>
      </c>
      <c r="C79" s="89"/>
      <c r="D79" s="82">
        <v>109</v>
      </c>
      <c r="E79" s="82">
        <v>82</v>
      </c>
      <c r="F79" s="32">
        <f t="shared" si="16"/>
        <v>1.8795999999999999</v>
      </c>
      <c r="G79" s="32">
        <f t="shared" si="17"/>
        <v>2.9615209999999998</v>
      </c>
      <c r="H79" s="17"/>
      <c r="I79" s="32">
        <f>'Energy Use'!$E$6*F79+'Energy Use'!$E$5*N57</f>
        <v>5.5815573399999998</v>
      </c>
    </row>
    <row r="80" spans="1:24">
      <c r="B80" s="16">
        <v>40021</v>
      </c>
      <c r="C80" s="89"/>
      <c r="D80" s="82">
        <v>95</v>
      </c>
      <c r="E80" s="82">
        <v>11</v>
      </c>
      <c r="F80" s="32">
        <f t="shared" si="16"/>
        <v>0.70809999999999995</v>
      </c>
      <c r="G80" s="32">
        <f t="shared" si="17"/>
        <v>1.8787589999999998</v>
      </c>
      <c r="H80" s="17"/>
      <c r="I80" s="32">
        <f>'Energy Use'!$E$6*F80+'Energy Use'!$E$5*N58</f>
        <v>4.6513817599999996</v>
      </c>
    </row>
    <row r="81" spans="2:9">
      <c r="B81" s="16">
        <v>40050</v>
      </c>
      <c r="C81" s="89"/>
      <c r="D81" s="82">
        <v>207</v>
      </c>
      <c r="E81" s="82">
        <v>8</v>
      </c>
      <c r="F81" s="32">
        <f t="shared" si="16"/>
        <v>0.65859999999999996</v>
      </c>
      <c r="G81" s="32">
        <f t="shared" si="17"/>
        <v>2.0442779999999998</v>
      </c>
      <c r="H81" s="17"/>
      <c r="I81" s="32">
        <f>'Energy Use'!$E$6*F81+'Energy Use'!$E$5*N59</f>
        <v>5.3177187199999993</v>
      </c>
    </row>
    <row r="82" spans="2:9">
      <c r="B82" s="16">
        <v>40080</v>
      </c>
      <c r="C82" s="89"/>
      <c r="D82" s="82">
        <v>72</v>
      </c>
      <c r="E82" s="82">
        <v>77</v>
      </c>
      <c r="F82" s="32">
        <f t="shared" si="16"/>
        <v>1.7970999999999999</v>
      </c>
      <c r="G82" s="32">
        <f t="shared" si="17"/>
        <v>2.9984760000000001</v>
      </c>
      <c r="H82" s="17"/>
      <c r="I82" s="32">
        <f>'Energy Use'!$E$6*F82+'Energy Use'!$E$5*N60</f>
        <v>5.8941595399999995</v>
      </c>
    </row>
    <row r="83" spans="2:9">
      <c r="B83" s="16">
        <v>40108</v>
      </c>
      <c r="C83" s="89"/>
      <c r="D83" s="82">
        <v>6</v>
      </c>
      <c r="E83" s="82">
        <v>422</v>
      </c>
      <c r="F83" s="32">
        <f t="shared" si="16"/>
        <v>7.4896000000000003</v>
      </c>
      <c r="G83" s="32">
        <f t="shared" si="17"/>
        <v>8.5339780000000012</v>
      </c>
      <c r="H83" s="17"/>
      <c r="I83" s="32">
        <f>'Energy Use'!$E$6*F83+'Energy Use'!$E$5*N61</f>
        <v>11.32983372</v>
      </c>
    </row>
    <row r="84" spans="2:9">
      <c r="B84" s="16">
        <v>40139</v>
      </c>
      <c r="C84" s="89"/>
      <c r="D84" s="82">
        <v>0</v>
      </c>
      <c r="E84" s="82">
        <v>757</v>
      </c>
      <c r="F84" s="32">
        <f t="shared" si="16"/>
        <v>13.017100000000001</v>
      </c>
      <c r="G84" s="32">
        <f t="shared" si="17"/>
        <v>14.337931000000001</v>
      </c>
      <c r="H84" s="17"/>
      <c r="I84" s="32">
        <f>'Energy Use'!$E$6*F84+'Energy Use'!$E$5*N62</f>
        <v>18.04047924</v>
      </c>
    </row>
    <row r="85" spans="2:9">
      <c r="B85" s="19">
        <v>40170</v>
      </c>
      <c r="C85" s="85"/>
      <c r="D85" s="87">
        <v>0</v>
      </c>
      <c r="E85" s="87">
        <v>1005</v>
      </c>
      <c r="F85" s="34">
        <f t="shared" si="16"/>
        <v>17.109099999999998</v>
      </c>
      <c r="G85" s="34">
        <f t="shared" si="17"/>
        <v>18.651775999999998</v>
      </c>
      <c r="H85" s="20"/>
      <c r="I85" s="34">
        <f>'Energy Use'!$E$6*F85+'Energy Use'!$E$5*N63</f>
        <v>23.065765539999997</v>
      </c>
    </row>
    <row r="86" spans="2:9">
      <c r="B86" s="17"/>
      <c r="C86" s="89"/>
      <c r="F86" s="17"/>
      <c r="G86" s="13">
        <f>SUM(G74:G85)</f>
        <v>128.99715900000001</v>
      </c>
      <c r="I86" s="13">
        <f>SUM(I74:I85)</f>
        <v>169.83098346</v>
      </c>
    </row>
  </sheetData>
  <mergeCells count="2">
    <mergeCell ref="J49:K49"/>
    <mergeCell ref="C70:E7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F55"/>
  <sheetViews>
    <sheetView workbookViewId="0">
      <selection activeCell="B2" sqref="B2"/>
    </sheetView>
  </sheetViews>
  <sheetFormatPr defaultRowHeight="15"/>
  <cols>
    <col min="1" max="1" width="10.42578125" style="9" bestFit="1" customWidth="1"/>
    <col min="2" max="2" width="15.28515625" style="9" customWidth="1"/>
    <col min="3" max="13" width="9.140625" style="9"/>
    <col min="14" max="14" width="12.42578125" style="9" customWidth="1"/>
    <col min="15" max="15" width="11.7109375" style="9" customWidth="1"/>
    <col min="16" max="16384" width="9.140625" style="9"/>
  </cols>
  <sheetData>
    <row r="2" spans="1:5">
      <c r="B2" s="9" t="s">
        <v>54</v>
      </c>
    </row>
    <row r="3" spans="1:5">
      <c r="B3" s="9" t="s">
        <v>47</v>
      </c>
    </row>
    <row r="4" spans="1:5">
      <c r="B4" s="9" t="s">
        <v>48</v>
      </c>
      <c r="C4" s="9" t="s">
        <v>40</v>
      </c>
    </row>
    <row r="5" spans="1:5">
      <c r="B5" s="9" t="s">
        <v>38</v>
      </c>
      <c r="C5" s="9" t="s">
        <v>0</v>
      </c>
      <c r="D5" s="9" t="s">
        <v>4</v>
      </c>
    </row>
    <row r="6" spans="1:5">
      <c r="A6" s="9" t="s">
        <v>13</v>
      </c>
    </row>
    <row r="7" spans="1:5">
      <c r="A7" s="1">
        <v>40452</v>
      </c>
      <c r="C7" s="9">
        <f>HDD!B30</f>
        <v>708</v>
      </c>
      <c r="D7" s="9">
        <f>CDD!B11</f>
        <v>0</v>
      </c>
    </row>
    <row r="8" spans="1:5">
      <c r="A8" s="1">
        <v>40483</v>
      </c>
      <c r="C8" s="9">
        <f>HDD!B31</f>
        <v>1130</v>
      </c>
      <c r="D8" s="9">
        <f>CDD!B12</f>
        <v>0</v>
      </c>
    </row>
    <row r="9" spans="1:5">
      <c r="A9" s="1">
        <v>40513</v>
      </c>
      <c r="C9" s="9">
        <f>HDD!B32</f>
        <v>1309</v>
      </c>
      <c r="D9" s="9">
        <f>CDD!B13</f>
        <v>0</v>
      </c>
      <c r="E9" s="9" t="s">
        <v>31</v>
      </c>
    </row>
    <row r="10" spans="1:5">
      <c r="A10" s="1">
        <v>40544</v>
      </c>
      <c r="B10" s="13"/>
      <c r="C10" s="9">
        <f>HDD!B33</f>
        <v>1080</v>
      </c>
      <c r="D10" s="9">
        <f>CDD!B14</f>
        <v>0</v>
      </c>
    </row>
    <row r="11" spans="1:5">
      <c r="A11" s="1">
        <v>40575</v>
      </c>
      <c r="B11" s="13"/>
      <c r="C11" s="9">
        <f>HDD!B34</f>
        <v>883</v>
      </c>
      <c r="D11" s="9">
        <f>CDD!B15</f>
        <v>0</v>
      </c>
    </row>
    <row r="12" spans="1:5">
      <c r="A12" s="1">
        <v>40603</v>
      </c>
      <c r="B12" s="13"/>
      <c r="C12" s="9">
        <f>HDD!B35</f>
        <v>471</v>
      </c>
      <c r="D12" s="9">
        <f>CDD!B16</f>
        <v>13</v>
      </c>
    </row>
    <row r="13" spans="1:5">
      <c r="A13" s="1">
        <v>40634</v>
      </c>
      <c r="C13" s="9">
        <f>HDD!B36</f>
        <v>189</v>
      </c>
      <c r="D13" s="9">
        <f>CDD!B17</f>
        <v>86</v>
      </c>
    </row>
    <row r="14" spans="1:5">
      <c r="A14" s="1">
        <v>40664</v>
      </c>
      <c r="C14" s="9">
        <f>HDD!B37</f>
        <v>69</v>
      </c>
      <c r="D14" s="9">
        <f>CDD!B18</f>
        <v>157</v>
      </c>
    </row>
    <row r="15" spans="1:5">
      <c r="A15" s="1">
        <v>40695</v>
      </c>
      <c r="C15" s="9">
        <f>HDD!B38</f>
        <v>16</v>
      </c>
      <c r="D15" s="9">
        <f>CDD!B19</f>
        <v>329</v>
      </c>
    </row>
    <row r="16" spans="1:5">
      <c r="A16" s="1">
        <v>40725</v>
      </c>
      <c r="B16" s="9">
        <v>0</v>
      </c>
      <c r="C16" s="9">
        <f>HDD!B39</f>
        <v>34</v>
      </c>
      <c r="D16" s="9">
        <f>CDD!B20</f>
        <v>215</v>
      </c>
    </row>
    <row r="17" spans="1:4">
      <c r="A17" s="1">
        <v>40756</v>
      </c>
      <c r="B17" s="9">
        <v>0</v>
      </c>
      <c r="C17" s="9">
        <f>HDD!B40</f>
        <v>87</v>
      </c>
      <c r="D17" s="9">
        <f>CDD!B21</f>
        <v>115</v>
      </c>
    </row>
    <row r="18" spans="1:4">
      <c r="A18" s="1">
        <v>40787</v>
      </c>
      <c r="B18" s="9">
        <v>0</v>
      </c>
      <c r="C18" s="9">
        <f>HDD!B41</f>
        <v>429</v>
      </c>
      <c r="D18" s="9">
        <f>CDD!B22</f>
        <v>17</v>
      </c>
    </row>
    <row r="19" spans="1:4">
      <c r="A19" s="1">
        <v>40817</v>
      </c>
      <c r="B19" s="9">
        <v>0</v>
      </c>
      <c r="C19" s="9">
        <f>HDD!B42</f>
        <v>610</v>
      </c>
      <c r="D19" s="9">
        <f>CDD!B23</f>
        <v>1</v>
      </c>
    </row>
    <row r="20" spans="1:4">
      <c r="A20" s="1">
        <v>40848</v>
      </c>
      <c r="B20" s="9">
        <v>0</v>
      </c>
      <c r="C20" s="9">
        <f>HDD!B43</f>
        <v>906</v>
      </c>
      <c r="D20" s="9">
        <f>CDD!B24</f>
        <v>0</v>
      </c>
    </row>
    <row r="21" spans="1:4">
      <c r="A21" s="1">
        <v>40878</v>
      </c>
      <c r="B21" s="9">
        <v>0</v>
      </c>
      <c r="C21" s="9">
        <f>HDD!B44</f>
        <v>1071</v>
      </c>
      <c r="D21" s="9">
        <f>CDD!B25</f>
        <v>0</v>
      </c>
    </row>
    <row r="22" spans="1:4">
      <c r="A22" s="1">
        <v>40909</v>
      </c>
      <c r="B22" s="9">
        <v>0</v>
      </c>
      <c r="C22" s="9">
        <f>HDD!B45</f>
        <v>890</v>
      </c>
      <c r="D22" s="9">
        <f>CDD!B26</f>
        <v>0</v>
      </c>
    </row>
    <row r="23" spans="1:4">
      <c r="A23" s="1">
        <v>40940</v>
      </c>
      <c r="B23" s="9">
        <v>0</v>
      </c>
      <c r="C23" s="9">
        <f>HDD!B46</f>
        <v>626</v>
      </c>
      <c r="D23" s="9">
        <f>CDD!B27</f>
        <v>22</v>
      </c>
    </row>
    <row r="24" spans="1:4">
      <c r="A24" s="1">
        <v>40969</v>
      </c>
      <c r="B24" s="9">
        <v>0</v>
      </c>
      <c r="C24" s="9">
        <f>HDD!B47</f>
        <v>441</v>
      </c>
      <c r="D24" s="9">
        <f>CDD!B28</f>
        <v>27</v>
      </c>
    </row>
    <row r="25" spans="1:4">
      <c r="A25" s="1">
        <v>41000</v>
      </c>
      <c r="B25" s="9">
        <v>0</v>
      </c>
      <c r="C25" s="9">
        <f>HDD!B48</f>
        <v>160</v>
      </c>
      <c r="D25" s="9">
        <f>CDD!B29</f>
        <v>104</v>
      </c>
    </row>
    <row r="26" spans="1:4">
      <c r="A26" s="1">
        <v>41030</v>
      </c>
      <c r="B26" s="9">
        <v>0</v>
      </c>
      <c r="C26" s="9">
        <f>HDD!B49</f>
        <v>87</v>
      </c>
      <c r="D26" s="9">
        <f>CDD!B30</f>
        <v>162</v>
      </c>
    </row>
    <row r="27" spans="1:4">
      <c r="A27" s="1">
        <v>41061</v>
      </c>
      <c r="B27" s="9">
        <v>0</v>
      </c>
      <c r="C27" s="9">
        <f>HDD!B50</f>
        <v>15</v>
      </c>
      <c r="D27" s="9">
        <f>CDD!B31</f>
        <v>333</v>
      </c>
    </row>
    <row r="28" spans="1:4">
      <c r="A28" s="1">
        <v>41091</v>
      </c>
      <c r="B28" s="9">
        <v>0</v>
      </c>
      <c r="C28" s="9">
        <f>HDD!B51</f>
        <v>36</v>
      </c>
      <c r="D28" s="9">
        <f>CDD!B32</f>
        <v>266</v>
      </c>
    </row>
    <row r="29" spans="1:4">
      <c r="A29" s="1">
        <v>41122</v>
      </c>
      <c r="B29" s="9">
        <v>0</v>
      </c>
    </row>
    <row r="33" spans="1:6">
      <c r="A33" s="1"/>
      <c r="E33" s="1"/>
    </row>
    <row r="34" spans="1:6">
      <c r="A34" s="1"/>
      <c r="C34" s="13"/>
      <c r="E34" s="1"/>
      <c r="F34" s="13"/>
    </row>
    <row r="35" spans="1:6">
      <c r="A35" s="1"/>
      <c r="C35" s="13"/>
      <c r="E35" s="1"/>
      <c r="F35" s="13"/>
    </row>
    <row r="36" spans="1:6">
      <c r="A36" s="1"/>
      <c r="C36" s="13"/>
      <c r="E36" s="1"/>
      <c r="F36" s="13"/>
    </row>
    <row r="37" spans="1:6">
      <c r="A37" s="1"/>
      <c r="C37" s="13"/>
      <c r="E37" s="1"/>
      <c r="F37" s="13"/>
    </row>
    <row r="38" spans="1:6">
      <c r="A38" s="1"/>
      <c r="C38" s="13"/>
      <c r="E38" s="1"/>
    </row>
    <row r="39" spans="1:6">
      <c r="A39" s="1"/>
      <c r="C39" s="13"/>
      <c r="E39" s="1"/>
    </row>
    <row r="40" spans="1:6">
      <c r="A40" s="1"/>
      <c r="C40" s="13"/>
      <c r="E40" s="1"/>
    </row>
    <row r="41" spans="1:6">
      <c r="A41" s="1"/>
      <c r="C41" s="13"/>
      <c r="E41" s="1"/>
    </row>
    <row r="42" spans="1:6">
      <c r="A42" s="1"/>
      <c r="C42" s="13"/>
      <c r="E42" s="1"/>
    </row>
    <row r="43" spans="1:6">
      <c r="A43" s="1"/>
      <c r="C43" s="13"/>
      <c r="E43" s="1"/>
    </row>
    <row r="44" spans="1:6">
      <c r="A44" s="1"/>
      <c r="C44" s="13"/>
      <c r="E44" s="1"/>
    </row>
    <row r="45" spans="1:6">
      <c r="A45" s="1"/>
      <c r="C45" s="13"/>
      <c r="E45" s="1"/>
    </row>
    <row r="46" spans="1:6">
      <c r="A46" s="1"/>
      <c r="C46" s="13"/>
      <c r="E46" s="1"/>
    </row>
    <row r="47" spans="1:6">
      <c r="A47" s="1"/>
      <c r="C47" s="13"/>
      <c r="E47" s="1"/>
    </row>
    <row r="48" spans="1:6">
      <c r="A48" s="1"/>
      <c r="C48" s="13"/>
      <c r="E48" s="1"/>
    </row>
    <row r="49" spans="1:5">
      <c r="A49" s="1"/>
      <c r="C49" s="13"/>
      <c r="E49" s="1"/>
    </row>
    <row r="50" spans="1:5">
      <c r="A50" s="1"/>
      <c r="C50" s="13"/>
      <c r="E50" s="1"/>
    </row>
    <row r="51" spans="1:5">
      <c r="A51" s="1"/>
      <c r="C51" s="13"/>
      <c r="E51" s="1"/>
    </row>
    <row r="52" spans="1:5">
      <c r="A52" s="1"/>
      <c r="C52" s="13"/>
      <c r="E52" s="1"/>
    </row>
    <row r="53" spans="1:5">
      <c r="A53" s="1"/>
      <c r="C53" s="13"/>
      <c r="E53" s="1"/>
    </row>
    <row r="54" spans="1:5">
      <c r="A54" s="1"/>
      <c r="C54" s="13"/>
    </row>
    <row r="55" spans="1:5">
      <c r="A55" s="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1"/>
  <sheetViews>
    <sheetView workbookViewId="0">
      <selection activeCell="D16" sqref="D16"/>
    </sheetView>
  </sheetViews>
  <sheetFormatPr defaultRowHeight="15"/>
  <cols>
    <col min="1" max="1" width="10.42578125" bestFit="1" customWidth="1"/>
    <col min="2" max="2" width="9.85546875" customWidth="1"/>
    <col min="4" max="4" width="15.28515625" customWidth="1"/>
    <col min="5" max="5" width="11.42578125" customWidth="1"/>
    <col min="20" max="20" width="13.140625" customWidth="1"/>
    <col min="21" max="21" width="10.5703125" customWidth="1"/>
    <col min="22" max="22" width="10.85546875" customWidth="1"/>
  </cols>
  <sheetData>
    <row r="1" spans="1:8">
      <c r="B1" s="9"/>
    </row>
    <row r="3" spans="1:8">
      <c r="E3" s="9" t="s">
        <v>44</v>
      </c>
    </row>
    <row r="4" spans="1:8">
      <c r="B4" s="107" t="s">
        <v>43</v>
      </c>
      <c r="C4" s="107"/>
      <c r="E4" s="9" t="s">
        <v>32</v>
      </c>
    </row>
    <row r="5" spans="1:8">
      <c r="B5" s="9" t="s">
        <v>55</v>
      </c>
      <c r="C5" s="9"/>
      <c r="D5" t="s">
        <v>2</v>
      </c>
      <c r="E5" t="s">
        <v>3</v>
      </c>
      <c r="F5" t="s">
        <v>0</v>
      </c>
      <c r="G5" t="s">
        <v>4</v>
      </c>
    </row>
    <row r="6" spans="1:8" s="9" customFormat="1">
      <c r="A6" s="9" t="s">
        <v>13</v>
      </c>
      <c r="B6" s="9" t="s">
        <v>41</v>
      </c>
      <c r="C6" s="9" t="s">
        <v>63</v>
      </c>
      <c r="D6" s="9" t="s">
        <v>42</v>
      </c>
    </row>
    <row r="7" spans="1:8" s="9" customFormat="1">
      <c r="A7" s="1">
        <v>40452</v>
      </c>
      <c r="B7" s="2"/>
      <c r="C7" s="2"/>
      <c r="D7" s="9">
        <f>SUM(B7+C7-E7)</f>
        <v>0</v>
      </c>
      <c r="E7" s="2"/>
      <c r="F7" s="9">
        <f>HDD!B29</f>
        <v>407</v>
      </c>
      <c r="G7" s="9">
        <f>CDD!B10</f>
        <v>16</v>
      </c>
    </row>
    <row r="8" spans="1:8" s="9" customFormat="1">
      <c r="A8" s="1">
        <v>40483</v>
      </c>
      <c r="B8" s="2"/>
      <c r="C8" s="2"/>
      <c r="D8" s="9">
        <f t="shared" ref="D8:D29" si="0">SUM(B8+C8-E8)</f>
        <v>0</v>
      </c>
      <c r="E8" s="2"/>
      <c r="F8" s="9">
        <f>HDD!B30</f>
        <v>708</v>
      </c>
      <c r="G8" s="9">
        <f>CDD!B11</f>
        <v>0</v>
      </c>
    </row>
    <row r="9" spans="1:8">
      <c r="A9" s="1">
        <v>40513</v>
      </c>
      <c r="B9" s="2"/>
      <c r="C9" s="2"/>
      <c r="D9" s="9">
        <f t="shared" si="0"/>
        <v>0</v>
      </c>
      <c r="E9" s="2"/>
      <c r="F9" s="9">
        <f>HDD!B31</f>
        <v>1130</v>
      </c>
      <c r="G9" s="9">
        <f>CDD!B12</f>
        <v>0</v>
      </c>
    </row>
    <row r="10" spans="1:8">
      <c r="A10" s="1">
        <v>40544</v>
      </c>
      <c r="B10" s="3"/>
      <c r="C10" s="3"/>
      <c r="D10" s="9">
        <f t="shared" si="0"/>
        <v>0</v>
      </c>
      <c r="E10" s="3"/>
      <c r="F10" s="9">
        <f>HDD!B32</f>
        <v>1309</v>
      </c>
      <c r="G10" s="9">
        <f>CDD!B13</f>
        <v>0</v>
      </c>
    </row>
    <row r="11" spans="1:8">
      <c r="A11" s="1">
        <v>40575</v>
      </c>
      <c r="B11" s="3"/>
      <c r="C11" s="3"/>
      <c r="D11" s="9">
        <f t="shared" si="0"/>
        <v>0</v>
      </c>
      <c r="E11" s="3"/>
      <c r="F11" s="9">
        <f>HDD!B33</f>
        <v>1080</v>
      </c>
      <c r="G11" s="9">
        <f>CDD!B14</f>
        <v>0</v>
      </c>
    </row>
    <row r="12" spans="1:8">
      <c r="A12" s="1">
        <v>40603</v>
      </c>
      <c r="B12" s="3"/>
      <c r="C12" s="3"/>
      <c r="D12" s="9">
        <f t="shared" si="0"/>
        <v>0</v>
      </c>
      <c r="E12" s="3"/>
      <c r="F12" s="9">
        <f>HDD!B34</f>
        <v>883</v>
      </c>
      <c r="G12" s="9">
        <f>CDD!B15</f>
        <v>0</v>
      </c>
      <c r="H12" s="9"/>
    </row>
    <row r="13" spans="1:8">
      <c r="A13" s="1">
        <v>40634</v>
      </c>
      <c r="B13" s="3"/>
      <c r="C13" s="3"/>
      <c r="D13" s="9">
        <f t="shared" si="0"/>
        <v>0</v>
      </c>
      <c r="E13" s="3"/>
      <c r="F13" s="9">
        <f>HDD!B35</f>
        <v>471</v>
      </c>
      <c r="G13" s="9">
        <f>CDD!B16</f>
        <v>13</v>
      </c>
    </row>
    <row r="14" spans="1:8">
      <c r="A14" s="1">
        <v>40664</v>
      </c>
      <c r="B14" s="3"/>
      <c r="C14" s="3"/>
      <c r="D14" s="9">
        <f t="shared" si="0"/>
        <v>0</v>
      </c>
      <c r="E14" s="3"/>
      <c r="F14" s="9">
        <f>HDD!B36</f>
        <v>189</v>
      </c>
      <c r="G14" s="9">
        <f>CDD!B17</f>
        <v>86</v>
      </c>
    </row>
    <row r="15" spans="1:8">
      <c r="A15" s="1">
        <v>40695</v>
      </c>
      <c r="B15" s="3"/>
      <c r="C15" s="3"/>
      <c r="D15" s="9">
        <f t="shared" si="0"/>
        <v>0</v>
      </c>
      <c r="E15" s="3"/>
      <c r="F15" s="9">
        <f>HDD!B37</f>
        <v>69</v>
      </c>
      <c r="G15" s="9">
        <f>CDD!B18</f>
        <v>157</v>
      </c>
    </row>
    <row r="16" spans="1:8">
      <c r="A16" s="1">
        <v>40725</v>
      </c>
      <c r="B16" s="3">
        <v>223</v>
      </c>
      <c r="C16" s="3"/>
      <c r="D16" s="9">
        <f t="shared" si="0"/>
        <v>846</v>
      </c>
      <c r="E16" s="3">
        <v>-623</v>
      </c>
      <c r="F16" s="9">
        <f>HDD!B38</f>
        <v>16</v>
      </c>
      <c r="G16" s="9">
        <f>CDD!B19</f>
        <v>329</v>
      </c>
      <c r="H16" s="9" t="s">
        <v>31</v>
      </c>
    </row>
    <row r="17" spans="1:11">
      <c r="A17" s="1">
        <v>40756</v>
      </c>
      <c r="B17" s="3">
        <v>42</v>
      </c>
      <c r="C17" s="3"/>
      <c r="D17" s="9">
        <f t="shared" si="0"/>
        <v>651</v>
      </c>
      <c r="E17" s="3">
        <v>-609</v>
      </c>
      <c r="F17" s="9">
        <f>HDD!B39</f>
        <v>34</v>
      </c>
      <c r="G17" s="9">
        <f>CDD!B20</f>
        <v>215</v>
      </c>
    </row>
    <row r="18" spans="1:11">
      <c r="A18" s="1">
        <v>40787</v>
      </c>
      <c r="B18" s="3">
        <v>0</v>
      </c>
      <c r="C18" s="3"/>
      <c r="D18" s="9">
        <f t="shared" si="0"/>
        <v>452</v>
      </c>
      <c r="E18" s="3">
        <v>-452</v>
      </c>
      <c r="F18" s="9">
        <f>HDD!B40</f>
        <v>87</v>
      </c>
      <c r="G18" s="9">
        <f>CDD!B21</f>
        <v>115</v>
      </c>
    </row>
    <row r="19" spans="1:11">
      <c r="A19" s="1">
        <v>40817</v>
      </c>
      <c r="B19" s="3">
        <v>123</v>
      </c>
      <c r="C19" s="3"/>
      <c r="D19" s="9">
        <f t="shared" si="0"/>
        <v>499</v>
      </c>
      <c r="E19" s="3">
        <v>-376</v>
      </c>
      <c r="F19" s="9">
        <f>HDD!B41</f>
        <v>429</v>
      </c>
      <c r="G19" s="9">
        <f>CDD!B22</f>
        <v>17</v>
      </c>
    </row>
    <row r="20" spans="1:11">
      <c r="A20" s="1">
        <v>40848</v>
      </c>
      <c r="B20" s="3">
        <v>272</v>
      </c>
      <c r="C20" s="3"/>
      <c r="D20" s="9">
        <f t="shared" si="0"/>
        <v>686</v>
      </c>
      <c r="E20" s="3">
        <v>-414</v>
      </c>
      <c r="F20" s="9">
        <f>HDD!B42</f>
        <v>610</v>
      </c>
      <c r="G20" s="9">
        <f>CDD!B23</f>
        <v>1</v>
      </c>
    </row>
    <row r="21" spans="1:11">
      <c r="A21" s="1">
        <v>40878</v>
      </c>
      <c r="B21" s="3">
        <v>442</v>
      </c>
      <c r="C21" s="3"/>
      <c r="D21" s="9">
        <f t="shared" si="0"/>
        <v>747</v>
      </c>
      <c r="E21" s="3">
        <v>-305</v>
      </c>
      <c r="F21" s="9">
        <f>HDD!B43</f>
        <v>906</v>
      </c>
      <c r="G21" s="9">
        <f>CDD!B24</f>
        <v>0</v>
      </c>
    </row>
    <row r="22" spans="1:11">
      <c r="A22" s="1">
        <v>40909</v>
      </c>
      <c r="B22" s="3">
        <v>665</v>
      </c>
      <c r="C22" s="3"/>
      <c r="D22" s="9">
        <f t="shared" si="0"/>
        <v>1035</v>
      </c>
      <c r="E22" s="3">
        <v>-370</v>
      </c>
      <c r="F22" s="9">
        <f>HDD!B44</f>
        <v>1071</v>
      </c>
      <c r="G22" s="9">
        <f>CDD!B25</f>
        <v>0</v>
      </c>
    </row>
    <row r="23" spans="1:11">
      <c r="A23" s="1">
        <v>40940</v>
      </c>
      <c r="B23" s="3">
        <v>269</v>
      </c>
      <c r="C23" s="3"/>
      <c r="D23" s="9">
        <f t="shared" si="0"/>
        <v>660</v>
      </c>
      <c r="E23" s="3">
        <v>-391</v>
      </c>
      <c r="F23" s="9">
        <f>HDD!B45</f>
        <v>890</v>
      </c>
      <c r="G23" s="9">
        <f>CDD!B26</f>
        <v>0</v>
      </c>
    </row>
    <row r="24" spans="1:11">
      <c r="A24" s="1">
        <v>40969</v>
      </c>
      <c r="B24" s="3">
        <v>160</v>
      </c>
      <c r="C24" s="3"/>
      <c r="D24" s="9">
        <f t="shared" si="0"/>
        <v>843</v>
      </c>
      <c r="E24" s="3">
        <v>-683</v>
      </c>
      <c r="F24" s="9">
        <f>HDD!B46</f>
        <v>626</v>
      </c>
      <c r="G24" s="9">
        <f>CDD!B27</f>
        <v>22</v>
      </c>
    </row>
    <row r="25" spans="1:11">
      <c r="A25" s="1">
        <v>41000</v>
      </c>
      <c r="B25" s="3">
        <v>0</v>
      </c>
      <c r="C25" s="3">
        <v>-115</v>
      </c>
      <c r="D25" s="9">
        <f t="shared" si="0"/>
        <v>515</v>
      </c>
      <c r="E25" s="3">
        <v>-630</v>
      </c>
      <c r="F25" s="9">
        <f>HDD!B47</f>
        <v>441</v>
      </c>
      <c r="G25" s="9">
        <f>CDD!B28</f>
        <v>27</v>
      </c>
    </row>
    <row r="26" spans="1:11">
      <c r="A26" s="1">
        <v>41030</v>
      </c>
      <c r="B26" s="3">
        <v>0</v>
      </c>
      <c r="C26" s="3">
        <v>-128</v>
      </c>
      <c r="D26" s="9">
        <f t="shared" si="0"/>
        <v>491</v>
      </c>
      <c r="E26" s="3">
        <v>-619</v>
      </c>
      <c r="F26" s="9">
        <f>HDD!B48</f>
        <v>160</v>
      </c>
      <c r="G26" s="9">
        <f>CDD!B29</f>
        <v>104</v>
      </c>
    </row>
    <row r="27" spans="1:11">
      <c r="A27" s="1">
        <v>41061</v>
      </c>
      <c r="B27" s="3">
        <v>0</v>
      </c>
      <c r="C27" s="3">
        <v>-77</v>
      </c>
      <c r="D27" s="9">
        <f t="shared" si="0"/>
        <v>622</v>
      </c>
      <c r="E27" s="26">
        <v>-699</v>
      </c>
      <c r="F27" s="9">
        <f>HDD!B49</f>
        <v>87</v>
      </c>
      <c r="G27" s="9">
        <f>CDD!B30</f>
        <v>162</v>
      </c>
      <c r="H27" s="9"/>
    </row>
    <row r="28" spans="1:11">
      <c r="A28" s="1">
        <v>41091</v>
      </c>
      <c r="B28" s="25">
        <v>0</v>
      </c>
      <c r="C28" s="25">
        <v>-211</v>
      </c>
      <c r="D28" s="9">
        <f t="shared" si="0"/>
        <v>496</v>
      </c>
      <c r="E28" s="25">
        <v>-707</v>
      </c>
      <c r="F28" s="9">
        <f>HDD!B50</f>
        <v>15</v>
      </c>
      <c r="G28" s="9">
        <f>CDD!B31</f>
        <v>333</v>
      </c>
    </row>
    <row r="29" spans="1:11">
      <c r="A29" s="1">
        <v>41122</v>
      </c>
      <c r="B29" s="25">
        <v>0</v>
      </c>
      <c r="C29" s="25">
        <v>-201</v>
      </c>
      <c r="D29" s="9">
        <f t="shared" si="0"/>
        <v>509</v>
      </c>
      <c r="E29" s="25">
        <v>-710</v>
      </c>
      <c r="F29" s="9">
        <f>HDD!B51</f>
        <v>36</v>
      </c>
      <c r="G29" s="9">
        <f>CDD!B32</f>
        <v>266</v>
      </c>
    </row>
    <row r="31" spans="1:11">
      <c r="I31" s="9"/>
      <c r="K31" s="9"/>
    </row>
    <row r="32" spans="1:11">
      <c r="I32" s="1"/>
    </row>
    <row r="33" spans="9:9">
      <c r="I33" s="1"/>
    </row>
    <row r="34" spans="9:9">
      <c r="I34" s="1"/>
    </row>
    <row r="35" spans="9:9">
      <c r="I35" s="1"/>
    </row>
    <row r="36" spans="9:9">
      <c r="I36" s="1"/>
    </row>
    <row r="37" spans="9:9">
      <c r="I37" s="1"/>
    </row>
    <row r="38" spans="9:9">
      <c r="I38" s="1"/>
    </row>
    <row r="39" spans="9:9">
      <c r="I39" s="1"/>
    </row>
    <row r="40" spans="9:9">
      <c r="I40" s="1"/>
    </row>
    <row r="41" spans="9:9">
      <c r="I41" s="1"/>
    </row>
    <row r="42" spans="9:9">
      <c r="I42" s="1"/>
    </row>
    <row r="43" spans="9:9">
      <c r="I43" s="1"/>
    </row>
    <row r="44" spans="9:9">
      <c r="I44" s="1"/>
    </row>
    <row r="45" spans="9:9">
      <c r="I45" s="1"/>
    </row>
    <row r="46" spans="9:9">
      <c r="I46" s="1"/>
    </row>
    <row r="47" spans="9:9">
      <c r="I47" s="1"/>
    </row>
    <row r="48" spans="9:9">
      <c r="I48" s="1"/>
    </row>
    <row r="49" spans="9:9">
      <c r="I49" s="1"/>
    </row>
    <row r="50" spans="9:9">
      <c r="I50" s="1"/>
    </row>
    <row r="51" spans="9:9">
      <c r="I51" s="1"/>
    </row>
  </sheetData>
  <mergeCells count="1">
    <mergeCell ref="B4:C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46"/>
  <sheetViews>
    <sheetView tabSelected="1" topLeftCell="A4" workbookViewId="0">
      <selection activeCell="U9" sqref="U9"/>
    </sheetView>
  </sheetViews>
  <sheetFormatPr defaultRowHeight="15"/>
  <cols>
    <col min="8" max="9" width="9.140625" style="9"/>
    <col min="16" max="16" width="9.140625" style="9"/>
    <col min="19" max="19" width="9.140625" style="9"/>
    <col min="21" max="21" width="9.140625" style="9"/>
    <col min="27" max="27" width="9.140625" style="9"/>
  </cols>
  <sheetData>
    <row r="1" spans="2:30">
      <c r="C1" s="9" t="s">
        <v>24</v>
      </c>
      <c r="E1" s="13">
        <f>1/E4</f>
        <v>292.99736302373282</v>
      </c>
    </row>
    <row r="2" spans="2:30">
      <c r="C2" s="9" t="s">
        <v>21</v>
      </c>
      <c r="E2" s="11">
        <f>100000/1000000</f>
        <v>0.1</v>
      </c>
      <c r="K2" s="9"/>
    </row>
    <row r="3" spans="2:30" s="9" customFormat="1">
      <c r="C3" s="9" t="s">
        <v>35</v>
      </c>
      <c r="E3" s="11">
        <f>138.6905/1000</f>
        <v>0.13869049999999999</v>
      </c>
    </row>
    <row r="4" spans="2:30">
      <c r="C4" s="9" t="s">
        <v>20</v>
      </c>
      <c r="E4">
        <f>3413/1000000</f>
        <v>3.4129999999999998E-3</v>
      </c>
    </row>
    <row r="5" spans="2:30">
      <c r="B5" s="9" t="s">
        <v>23</v>
      </c>
      <c r="E5">
        <v>3.34</v>
      </c>
    </row>
    <row r="6" spans="2:30">
      <c r="B6" s="9" t="s">
        <v>22</v>
      </c>
      <c r="E6">
        <v>1.0469999999999999</v>
      </c>
    </row>
    <row r="7" spans="2:30">
      <c r="B7" s="9" t="s">
        <v>34</v>
      </c>
      <c r="E7">
        <v>1.01</v>
      </c>
      <c r="Y7" s="9" t="s">
        <v>27</v>
      </c>
      <c r="AB7" s="9" t="s">
        <v>30</v>
      </c>
    </row>
    <row r="8" spans="2:30">
      <c r="J8" s="4"/>
      <c r="K8" s="105" t="s">
        <v>1</v>
      </c>
      <c r="L8" s="105"/>
      <c r="M8" s="4" t="s">
        <v>25</v>
      </c>
      <c r="N8" s="4"/>
      <c r="O8" s="9"/>
      <c r="Q8" s="9" t="s">
        <v>26</v>
      </c>
      <c r="S8" s="9" t="s">
        <v>17</v>
      </c>
      <c r="T8" s="9" t="s">
        <v>18</v>
      </c>
    </row>
    <row r="9" spans="2:30" s="102" customFormat="1" ht="60">
      <c r="C9" s="102" t="s">
        <v>39</v>
      </c>
      <c r="D9" s="102" t="s">
        <v>17</v>
      </c>
      <c r="E9" s="102" t="s">
        <v>18</v>
      </c>
      <c r="G9" s="102" t="s">
        <v>16</v>
      </c>
      <c r="H9" s="102" t="s">
        <v>19</v>
      </c>
      <c r="J9" s="103"/>
      <c r="K9" s="35" t="str">
        <f>Elec!B5</f>
        <v>NGrid</v>
      </c>
      <c r="L9" s="36" t="s">
        <v>63</v>
      </c>
      <c r="M9" s="103" t="s">
        <v>2</v>
      </c>
      <c r="N9" s="103" t="s">
        <v>3</v>
      </c>
      <c r="P9" s="102" t="s">
        <v>88</v>
      </c>
      <c r="Q9" s="102" t="s">
        <v>90</v>
      </c>
      <c r="R9" s="102" t="s">
        <v>62</v>
      </c>
      <c r="T9" s="102" t="s">
        <v>91</v>
      </c>
      <c r="U9" s="102" t="s">
        <v>92</v>
      </c>
      <c r="V9" s="102" t="s">
        <v>0</v>
      </c>
      <c r="W9" s="102" t="s">
        <v>4</v>
      </c>
      <c r="Y9" s="102" t="s">
        <v>28</v>
      </c>
      <c r="Z9" s="102" t="s">
        <v>29</v>
      </c>
      <c r="AA9" s="104" t="s">
        <v>62</v>
      </c>
      <c r="AB9" s="102" t="s">
        <v>28</v>
      </c>
      <c r="AC9" s="102" t="s">
        <v>29</v>
      </c>
      <c r="AD9" s="104" t="s">
        <v>62</v>
      </c>
    </row>
    <row r="10" spans="2:30" s="9" customFormat="1">
      <c r="J10" s="4"/>
      <c r="K10" s="4"/>
      <c r="L10" s="4"/>
      <c r="M10" s="4"/>
      <c r="N10" s="4"/>
      <c r="O10" s="9" t="s">
        <v>61</v>
      </c>
      <c r="R10" s="44"/>
      <c r="AA10" s="45"/>
      <c r="AD10" s="45"/>
    </row>
    <row r="11" spans="2:30" s="9" customFormat="1">
      <c r="B11" s="1">
        <v>40452</v>
      </c>
      <c r="C11" s="2">
        <f>Gas!B7</f>
        <v>0</v>
      </c>
      <c r="D11" s="12">
        <f>C11*E$2</f>
        <v>0</v>
      </c>
      <c r="E11" s="13">
        <f>D11*E$6</f>
        <v>0</v>
      </c>
      <c r="G11" s="13">
        <f t="shared" ref="G11:G13" si="0">D11*E$1</f>
        <v>0</v>
      </c>
      <c r="H11" s="13">
        <f t="shared" ref="H11:H13" si="1">E11*E$1</f>
        <v>0</v>
      </c>
      <c r="J11" s="37">
        <v>40452</v>
      </c>
      <c r="K11" s="35">
        <f>Elec!B7</f>
        <v>0</v>
      </c>
      <c r="L11" s="35">
        <f>Elec!C7</f>
        <v>0</v>
      </c>
      <c r="M11" s="4">
        <f>SUM(K11+L11+N11)</f>
        <v>0</v>
      </c>
      <c r="N11" s="35">
        <f>-(Elec!E7)</f>
        <v>0</v>
      </c>
      <c r="O11" s="9">
        <f t="shared" ref="O11:O19" si="2">N11+L11</f>
        <v>0</v>
      </c>
      <c r="Q11" s="9">
        <f>P11*$E$5+O11</f>
        <v>0</v>
      </c>
      <c r="R11" s="45">
        <f>M11*$E$5</f>
        <v>0</v>
      </c>
      <c r="S11" s="13">
        <f t="shared" ref="S11:S13" si="3">M11*E$4</f>
        <v>0</v>
      </c>
      <c r="T11" s="13">
        <f>Q11*$E$4</f>
        <v>0</v>
      </c>
      <c r="U11" s="13"/>
      <c r="V11" s="9">
        <f>HDD!B30</f>
        <v>708</v>
      </c>
      <c r="W11" s="9">
        <f>CDD!B11</f>
        <v>0</v>
      </c>
      <c r="Y11" s="13">
        <f t="shared" ref="Y11:Y13" si="4">G11+M11</f>
        <v>0</v>
      </c>
      <c r="Z11" s="13">
        <f t="shared" ref="Z11:Z13" si="5">H11+Q11</f>
        <v>0</v>
      </c>
      <c r="AA11" s="46"/>
      <c r="AB11" s="13">
        <f t="shared" ref="AB11:AB13" si="6">D11+S11</f>
        <v>0</v>
      </c>
      <c r="AC11" s="13">
        <f t="shared" ref="AC11:AC13" si="7">E11+T11</f>
        <v>0</v>
      </c>
      <c r="AD11" s="45"/>
    </row>
    <row r="12" spans="2:30" s="9" customFormat="1">
      <c r="B12" s="1">
        <v>40483</v>
      </c>
      <c r="C12" s="2">
        <f>Gas!B8</f>
        <v>0</v>
      </c>
      <c r="D12" s="12">
        <f t="shared" ref="D12:D33" si="8">C12*E$2</f>
        <v>0</v>
      </c>
      <c r="E12" s="13">
        <f t="shared" ref="E12:E33" si="9">D12*E$6</f>
        <v>0</v>
      </c>
      <c r="G12" s="13">
        <f t="shared" si="0"/>
        <v>0</v>
      </c>
      <c r="H12" s="13">
        <f t="shared" si="1"/>
        <v>0</v>
      </c>
      <c r="J12" s="37">
        <v>40483</v>
      </c>
      <c r="K12" s="35">
        <f>Elec!B8</f>
        <v>0</v>
      </c>
      <c r="L12" s="35">
        <f>Elec!C8</f>
        <v>0</v>
      </c>
      <c r="M12" s="4">
        <f t="shared" ref="M12:M32" si="10">SUM(K12+L12+N12)</f>
        <v>0</v>
      </c>
      <c r="N12" s="35">
        <f>-(Elec!E8)</f>
        <v>0</v>
      </c>
      <c r="O12" s="9">
        <f t="shared" si="2"/>
        <v>0</v>
      </c>
      <c r="Q12" s="9">
        <f t="shared" ref="Q12:Q32" si="11">P12*$E$5+O12</f>
        <v>0</v>
      </c>
      <c r="R12" s="45">
        <f t="shared" ref="R12:R32" si="12">M12*$E$5</f>
        <v>0</v>
      </c>
      <c r="S12" s="13">
        <f t="shared" si="3"/>
        <v>0</v>
      </c>
      <c r="T12" s="13">
        <f t="shared" ref="T12:T32" si="13">Q12*$E$4</f>
        <v>0</v>
      </c>
      <c r="U12" s="13"/>
      <c r="V12" s="9">
        <f>HDD!B31</f>
        <v>1130</v>
      </c>
      <c r="W12" s="9">
        <f>CDD!B12</f>
        <v>0</v>
      </c>
      <c r="Y12" s="13">
        <f t="shared" si="4"/>
        <v>0</v>
      </c>
      <c r="Z12" s="13">
        <f t="shared" si="5"/>
        <v>0</v>
      </c>
      <c r="AA12" s="46"/>
      <c r="AB12" s="13">
        <f t="shared" si="6"/>
        <v>0</v>
      </c>
      <c r="AC12" s="13">
        <f t="shared" si="7"/>
        <v>0</v>
      </c>
      <c r="AD12" s="45"/>
    </row>
    <row r="13" spans="2:30">
      <c r="B13" s="1">
        <v>40513</v>
      </c>
      <c r="C13" s="2">
        <f>Gas!B9</f>
        <v>0</v>
      </c>
      <c r="D13" s="12">
        <f t="shared" si="8"/>
        <v>0</v>
      </c>
      <c r="E13" s="13">
        <f t="shared" si="9"/>
        <v>0</v>
      </c>
      <c r="G13" s="13">
        <f t="shared" si="0"/>
        <v>0</v>
      </c>
      <c r="H13" s="13">
        <f t="shared" si="1"/>
        <v>0</v>
      </c>
      <c r="J13" s="37">
        <v>40513</v>
      </c>
      <c r="K13" s="35">
        <f>Elec!B9</f>
        <v>0</v>
      </c>
      <c r="L13" s="35">
        <f>Elec!C9</f>
        <v>0</v>
      </c>
      <c r="M13" s="4">
        <f t="shared" si="10"/>
        <v>0</v>
      </c>
      <c r="N13" s="35">
        <f>-(Elec!E9)</f>
        <v>0</v>
      </c>
      <c r="O13" s="9">
        <f t="shared" si="2"/>
        <v>0</v>
      </c>
      <c r="Q13" s="9">
        <f t="shared" si="11"/>
        <v>0</v>
      </c>
      <c r="R13" s="45">
        <f t="shared" si="12"/>
        <v>0</v>
      </c>
      <c r="S13" s="13">
        <f t="shared" si="3"/>
        <v>0</v>
      </c>
      <c r="T13" s="13">
        <f t="shared" si="13"/>
        <v>0</v>
      </c>
      <c r="U13" s="13"/>
      <c r="V13" s="9">
        <f>HDD!B32</f>
        <v>1309</v>
      </c>
      <c r="W13" s="9">
        <f>CDD!B13</f>
        <v>0</v>
      </c>
      <c r="X13" s="9"/>
      <c r="Y13" s="13">
        <f t="shared" si="4"/>
        <v>0</v>
      </c>
      <c r="Z13" s="13">
        <f t="shared" si="5"/>
        <v>0</v>
      </c>
      <c r="AA13" s="46"/>
      <c r="AB13" s="13">
        <f t="shared" si="6"/>
        <v>0</v>
      </c>
      <c r="AC13" s="13">
        <f t="shared" si="7"/>
        <v>0</v>
      </c>
      <c r="AD13" s="45"/>
    </row>
    <row r="14" spans="2:30">
      <c r="B14" s="1">
        <v>40544</v>
      </c>
      <c r="C14" s="2">
        <f>Gas!B10</f>
        <v>0</v>
      </c>
      <c r="D14" s="12">
        <f t="shared" si="8"/>
        <v>0</v>
      </c>
      <c r="E14" s="13">
        <f t="shared" si="9"/>
        <v>0</v>
      </c>
      <c r="G14" s="13">
        <f t="shared" ref="G14:G32" si="14">D14*E$1</f>
        <v>0</v>
      </c>
      <c r="H14" s="13">
        <f t="shared" ref="H14:H32" si="15">E14*E$1</f>
        <v>0</v>
      </c>
      <c r="I14" s="13"/>
      <c r="J14" s="37">
        <v>40544</v>
      </c>
      <c r="K14" s="35">
        <f>Elec!B10</f>
        <v>0</v>
      </c>
      <c r="L14" s="35">
        <f>Elec!C10</f>
        <v>0</v>
      </c>
      <c r="M14" s="4">
        <f t="shared" si="10"/>
        <v>0</v>
      </c>
      <c r="N14" s="35">
        <f>-(Elec!E10)</f>
        <v>0</v>
      </c>
      <c r="O14" s="9">
        <f t="shared" si="2"/>
        <v>0</v>
      </c>
      <c r="Q14" s="9">
        <f t="shared" si="11"/>
        <v>0</v>
      </c>
      <c r="R14" s="45">
        <f t="shared" si="12"/>
        <v>0</v>
      </c>
      <c r="S14" s="13">
        <f>M14*E$4</f>
        <v>0</v>
      </c>
      <c r="T14" s="13">
        <f t="shared" si="13"/>
        <v>0</v>
      </c>
      <c r="U14" s="13"/>
      <c r="V14" s="9">
        <f>HDD!B33</f>
        <v>1080</v>
      </c>
      <c r="W14" s="9">
        <f>CDD!B14</f>
        <v>0</v>
      </c>
      <c r="Y14" s="13">
        <f>G14+M14</f>
        <v>0</v>
      </c>
      <c r="Z14" s="13">
        <f>H14+Q14</f>
        <v>0</v>
      </c>
      <c r="AA14" s="46"/>
      <c r="AB14" s="13">
        <f>D14+S14</f>
        <v>0</v>
      </c>
      <c r="AC14" s="13">
        <f>E14+T14</f>
        <v>0</v>
      </c>
      <c r="AD14" s="45"/>
    </row>
    <row r="15" spans="2:30">
      <c r="B15" s="1">
        <v>40575</v>
      </c>
      <c r="C15" s="2">
        <f>Gas!B11</f>
        <v>0</v>
      </c>
      <c r="D15" s="12">
        <f t="shared" si="8"/>
        <v>0</v>
      </c>
      <c r="E15" s="13">
        <f t="shared" si="9"/>
        <v>0</v>
      </c>
      <c r="G15" s="13">
        <f t="shared" si="14"/>
        <v>0</v>
      </c>
      <c r="H15" s="13">
        <f t="shared" si="15"/>
        <v>0</v>
      </c>
      <c r="I15" s="13"/>
      <c r="J15" s="37">
        <v>40575</v>
      </c>
      <c r="K15" s="35">
        <f>Elec!B11</f>
        <v>0</v>
      </c>
      <c r="L15" s="35">
        <f>Elec!C11</f>
        <v>0</v>
      </c>
      <c r="M15" s="4">
        <f t="shared" si="10"/>
        <v>0</v>
      </c>
      <c r="N15" s="35">
        <f>-(Elec!E11)</f>
        <v>0</v>
      </c>
      <c r="O15" s="9">
        <f t="shared" si="2"/>
        <v>0</v>
      </c>
      <c r="Q15" s="9">
        <f t="shared" si="11"/>
        <v>0</v>
      </c>
      <c r="R15" s="45">
        <f t="shared" si="12"/>
        <v>0</v>
      </c>
      <c r="S15" s="13">
        <f t="shared" ref="S15:S32" si="16">M15*E$4</f>
        <v>0</v>
      </c>
      <c r="T15" s="13">
        <f t="shared" si="13"/>
        <v>0</v>
      </c>
      <c r="U15" s="13"/>
      <c r="V15" s="9">
        <f>HDD!B34</f>
        <v>883</v>
      </c>
      <c r="W15" s="9">
        <f>CDD!B15</f>
        <v>0</v>
      </c>
      <c r="Y15" s="13">
        <f t="shared" ref="Y15:Y32" si="17">G15+M15</f>
        <v>0</v>
      </c>
      <c r="Z15" s="13">
        <f t="shared" ref="Z15:Z32" si="18">H15+Q15</f>
        <v>0</v>
      </c>
      <c r="AA15" s="46"/>
      <c r="AB15" s="13">
        <f t="shared" ref="AB15:AB33" si="19">D15+S15</f>
        <v>0</v>
      </c>
      <c r="AC15" s="13">
        <f t="shared" ref="AC15:AC32" si="20">E15+T15</f>
        <v>0</v>
      </c>
      <c r="AD15" s="45"/>
    </row>
    <row r="16" spans="2:30">
      <c r="B16" s="1">
        <v>40603</v>
      </c>
      <c r="C16" s="2">
        <f>Gas!B12</f>
        <v>0</v>
      </c>
      <c r="D16" s="12">
        <f t="shared" si="8"/>
        <v>0</v>
      </c>
      <c r="E16" s="13">
        <f t="shared" si="9"/>
        <v>0</v>
      </c>
      <c r="G16" s="13">
        <f t="shared" si="14"/>
        <v>0</v>
      </c>
      <c r="H16" s="13">
        <f t="shared" si="15"/>
        <v>0</v>
      </c>
      <c r="I16" s="13"/>
      <c r="J16" s="37">
        <v>40603</v>
      </c>
      <c r="K16" s="35">
        <f>Elec!B12</f>
        <v>0</v>
      </c>
      <c r="L16" s="35">
        <f>Elec!C12</f>
        <v>0</v>
      </c>
      <c r="M16" s="4">
        <f t="shared" si="10"/>
        <v>0</v>
      </c>
      <c r="N16" s="35">
        <f>-(Elec!E12)</f>
        <v>0</v>
      </c>
      <c r="O16" s="9">
        <f t="shared" si="2"/>
        <v>0</v>
      </c>
      <c r="Q16" s="9">
        <f t="shared" si="11"/>
        <v>0</v>
      </c>
      <c r="R16" s="45">
        <f t="shared" si="12"/>
        <v>0</v>
      </c>
      <c r="S16" s="13">
        <f t="shared" si="16"/>
        <v>0</v>
      </c>
      <c r="T16" s="13">
        <f t="shared" si="13"/>
        <v>0</v>
      </c>
      <c r="U16" s="13"/>
      <c r="V16" s="9">
        <f>HDD!B35</f>
        <v>471</v>
      </c>
      <c r="W16" s="9">
        <f>CDD!B16</f>
        <v>13</v>
      </c>
      <c r="Y16" s="13">
        <f t="shared" si="17"/>
        <v>0</v>
      </c>
      <c r="Z16" s="13">
        <f t="shared" si="18"/>
        <v>0</v>
      </c>
      <c r="AA16" s="46"/>
      <c r="AB16" s="13">
        <f t="shared" si="19"/>
        <v>0</v>
      </c>
      <c r="AC16" s="13">
        <f t="shared" si="20"/>
        <v>0</v>
      </c>
      <c r="AD16" s="45"/>
    </row>
    <row r="17" spans="2:30">
      <c r="B17" s="1">
        <v>40634</v>
      </c>
      <c r="C17" s="2">
        <f>Gas!B13</f>
        <v>0</v>
      </c>
      <c r="D17" s="12">
        <f t="shared" si="8"/>
        <v>0</v>
      </c>
      <c r="E17" s="13">
        <f t="shared" si="9"/>
        <v>0</v>
      </c>
      <c r="G17" s="13">
        <f t="shared" si="14"/>
        <v>0</v>
      </c>
      <c r="H17" s="13">
        <f t="shared" si="15"/>
        <v>0</v>
      </c>
      <c r="I17" s="13"/>
      <c r="J17" s="37">
        <v>40634</v>
      </c>
      <c r="K17" s="35">
        <f>Elec!B13</f>
        <v>0</v>
      </c>
      <c r="L17" s="35">
        <f>Elec!C13</f>
        <v>0</v>
      </c>
      <c r="M17" s="4">
        <f t="shared" si="10"/>
        <v>0</v>
      </c>
      <c r="N17" s="35">
        <f>-(Elec!E13)</f>
        <v>0</v>
      </c>
      <c r="O17" s="9">
        <f t="shared" si="2"/>
        <v>0</v>
      </c>
      <c r="Q17" s="9">
        <f t="shared" si="11"/>
        <v>0</v>
      </c>
      <c r="R17" s="45">
        <f t="shared" si="12"/>
        <v>0</v>
      </c>
      <c r="S17" s="13">
        <f t="shared" si="16"/>
        <v>0</v>
      </c>
      <c r="T17" s="13">
        <f t="shared" si="13"/>
        <v>0</v>
      </c>
      <c r="U17" s="13"/>
      <c r="V17" s="9">
        <f>HDD!B36</f>
        <v>189</v>
      </c>
      <c r="W17" s="9">
        <f>CDD!B17</f>
        <v>86</v>
      </c>
      <c r="Y17" s="13">
        <f t="shared" si="17"/>
        <v>0</v>
      </c>
      <c r="Z17" s="13">
        <f t="shared" si="18"/>
        <v>0</v>
      </c>
      <c r="AA17" s="46"/>
      <c r="AB17" s="13">
        <f t="shared" si="19"/>
        <v>0</v>
      </c>
      <c r="AC17" s="13">
        <f t="shared" si="20"/>
        <v>0</v>
      </c>
      <c r="AD17" s="45"/>
    </row>
    <row r="18" spans="2:30">
      <c r="B18" s="1">
        <v>40664</v>
      </c>
      <c r="C18" s="2">
        <f>Gas!B14</f>
        <v>0</v>
      </c>
      <c r="D18" s="12">
        <f t="shared" si="8"/>
        <v>0</v>
      </c>
      <c r="E18" s="13">
        <f t="shared" si="9"/>
        <v>0</v>
      </c>
      <c r="G18" s="13">
        <f t="shared" si="14"/>
        <v>0</v>
      </c>
      <c r="H18" s="13">
        <f t="shared" si="15"/>
        <v>0</v>
      </c>
      <c r="I18" s="13"/>
      <c r="J18" s="37">
        <v>40664</v>
      </c>
      <c r="K18" s="35">
        <f>Elec!B14</f>
        <v>0</v>
      </c>
      <c r="L18" s="35">
        <f>Elec!C14</f>
        <v>0</v>
      </c>
      <c r="M18" s="4">
        <f t="shared" si="10"/>
        <v>0</v>
      </c>
      <c r="N18" s="35">
        <f>-(Elec!E14)</f>
        <v>0</v>
      </c>
      <c r="O18" s="9">
        <f t="shared" si="2"/>
        <v>0</v>
      </c>
      <c r="Q18" s="9">
        <f t="shared" si="11"/>
        <v>0</v>
      </c>
      <c r="R18" s="45">
        <f t="shared" si="12"/>
        <v>0</v>
      </c>
      <c r="S18" s="13">
        <f t="shared" si="16"/>
        <v>0</v>
      </c>
      <c r="T18" s="13">
        <f t="shared" si="13"/>
        <v>0</v>
      </c>
      <c r="U18" s="13"/>
      <c r="V18" s="9">
        <f>HDD!B37</f>
        <v>69</v>
      </c>
      <c r="W18" s="9">
        <f>CDD!B18</f>
        <v>157</v>
      </c>
      <c r="Y18" s="13">
        <f t="shared" si="17"/>
        <v>0</v>
      </c>
      <c r="Z18" s="13">
        <f t="shared" si="18"/>
        <v>0</v>
      </c>
      <c r="AA18" s="46"/>
      <c r="AB18" s="13">
        <f t="shared" si="19"/>
        <v>0</v>
      </c>
      <c r="AC18" s="13">
        <f t="shared" si="20"/>
        <v>0</v>
      </c>
      <c r="AD18" s="45"/>
    </row>
    <row r="19" spans="2:30">
      <c r="B19" s="1">
        <v>40695</v>
      </c>
      <c r="C19" s="2">
        <f>Gas!B15</f>
        <v>0</v>
      </c>
      <c r="D19" s="12">
        <f t="shared" si="8"/>
        <v>0</v>
      </c>
      <c r="E19" s="13">
        <f t="shared" si="9"/>
        <v>0</v>
      </c>
      <c r="G19" s="13">
        <f t="shared" si="14"/>
        <v>0</v>
      </c>
      <c r="H19" s="13">
        <f t="shared" si="15"/>
        <v>0</v>
      </c>
      <c r="I19" s="13"/>
      <c r="J19" s="37">
        <v>40695</v>
      </c>
      <c r="K19" s="35">
        <f>Elec!B15</f>
        <v>0</v>
      </c>
      <c r="L19" s="35">
        <f>Elec!C15</f>
        <v>0</v>
      </c>
      <c r="M19" s="4">
        <f t="shared" si="10"/>
        <v>0</v>
      </c>
      <c r="N19" s="35">
        <f>-(Elec!E15)</f>
        <v>0</v>
      </c>
      <c r="O19" s="9">
        <f t="shared" si="2"/>
        <v>0</v>
      </c>
      <c r="Q19" s="9">
        <f t="shared" si="11"/>
        <v>0</v>
      </c>
      <c r="R19" s="45">
        <f t="shared" si="12"/>
        <v>0</v>
      </c>
      <c r="S19" s="13">
        <f t="shared" si="16"/>
        <v>0</v>
      </c>
      <c r="T19" s="13">
        <f t="shared" si="13"/>
        <v>0</v>
      </c>
      <c r="U19" s="13"/>
      <c r="V19" s="9">
        <f>HDD!B38</f>
        <v>16</v>
      </c>
      <c r="W19" s="9">
        <f>CDD!B19</f>
        <v>329</v>
      </c>
      <c r="Y19" s="13">
        <f t="shared" si="17"/>
        <v>0</v>
      </c>
      <c r="Z19" s="13">
        <f t="shared" si="18"/>
        <v>0</v>
      </c>
      <c r="AA19" s="46"/>
      <c r="AB19" s="13">
        <f t="shared" si="19"/>
        <v>0</v>
      </c>
      <c r="AC19" s="13">
        <f t="shared" si="20"/>
        <v>0</v>
      </c>
      <c r="AD19" s="45"/>
    </row>
    <row r="20" spans="2:30">
      <c r="B20" s="1">
        <v>40735</v>
      </c>
      <c r="C20" s="2">
        <f>Gas!B16</f>
        <v>0</v>
      </c>
      <c r="D20" s="12">
        <f t="shared" si="8"/>
        <v>0</v>
      </c>
      <c r="E20" s="13">
        <f t="shared" si="9"/>
        <v>0</v>
      </c>
      <c r="G20" s="13">
        <f t="shared" si="14"/>
        <v>0</v>
      </c>
      <c r="H20" s="13">
        <f t="shared" si="15"/>
        <v>0</v>
      </c>
      <c r="I20" s="13"/>
      <c r="J20" s="37">
        <v>40725</v>
      </c>
      <c r="K20" s="35">
        <f>Elec!B16</f>
        <v>223</v>
      </c>
      <c r="L20" s="35">
        <f>Elec!C16</f>
        <v>0</v>
      </c>
      <c r="M20" s="4">
        <f t="shared" si="10"/>
        <v>846</v>
      </c>
      <c r="N20" s="35">
        <f>-(Elec!E16)</f>
        <v>623</v>
      </c>
      <c r="O20">
        <f>N20+L20</f>
        <v>623</v>
      </c>
      <c r="P20" s="9">
        <f>M20-O20</f>
        <v>223</v>
      </c>
      <c r="Q20" s="9">
        <f t="shared" si="11"/>
        <v>1367.82</v>
      </c>
      <c r="R20" s="45">
        <f t="shared" si="12"/>
        <v>2825.64</v>
      </c>
      <c r="S20" s="13">
        <f t="shared" si="16"/>
        <v>2.8873979999999997</v>
      </c>
      <c r="T20" s="13">
        <f t="shared" si="13"/>
        <v>4.6683696599999998</v>
      </c>
      <c r="U20" s="13">
        <f>R20*$E$4</f>
        <v>9.6439093199999988</v>
      </c>
      <c r="V20" s="9">
        <f>HDD!B39</f>
        <v>34</v>
      </c>
      <c r="W20" s="9">
        <f>CDD!B20</f>
        <v>215</v>
      </c>
      <c r="Y20" s="29">
        <f t="shared" si="17"/>
        <v>846</v>
      </c>
      <c r="Z20" s="30">
        <f t="shared" si="18"/>
        <v>1367.82</v>
      </c>
      <c r="AA20" s="46">
        <f>H20+R20</f>
        <v>2825.64</v>
      </c>
      <c r="AB20" s="30">
        <f t="shared" si="19"/>
        <v>2.8873979999999997</v>
      </c>
      <c r="AC20" s="30">
        <f t="shared" si="20"/>
        <v>4.6683696599999998</v>
      </c>
      <c r="AD20" s="46">
        <f>E20+R20*E$4</f>
        <v>9.6439093199999988</v>
      </c>
    </row>
    <row r="21" spans="2:30">
      <c r="B21" s="1">
        <v>40766</v>
      </c>
      <c r="C21" s="2">
        <f>Gas!B17</f>
        <v>0</v>
      </c>
      <c r="D21" s="12">
        <f t="shared" si="8"/>
        <v>0</v>
      </c>
      <c r="E21" s="13">
        <f t="shared" si="9"/>
        <v>0</v>
      </c>
      <c r="G21" s="13">
        <f t="shared" si="14"/>
        <v>0</v>
      </c>
      <c r="H21" s="13">
        <f t="shared" si="15"/>
        <v>0</v>
      </c>
      <c r="I21" s="13"/>
      <c r="J21" s="37">
        <v>40756</v>
      </c>
      <c r="K21" s="35">
        <f>Elec!B17</f>
        <v>42</v>
      </c>
      <c r="L21" s="35">
        <f>Elec!C17</f>
        <v>0</v>
      </c>
      <c r="M21" s="4">
        <f t="shared" si="10"/>
        <v>651</v>
      </c>
      <c r="N21" s="35">
        <f>-(Elec!E17)</f>
        <v>609</v>
      </c>
      <c r="O21" s="9">
        <f t="shared" ref="O21:O32" si="21">N21+L21</f>
        <v>609</v>
      </c>
      <c r="P21" s="9">
        <f t="shared" ref="P21:P32" si="22">M21-O21</f>
        <v>42</v>
      </c>
      <c r="Q21" s="9">
        <f t="shared" si="11"/>
        <v>749.28</v>
      </c>
      <c r="R21" s="45">
        <f t="shared" si="12"/>
        <v>2174.3399999999997</v>
      </c>
      <c r="S21" s="13">
        <f t="shared" si="16"/>
        <v>2.2218629999999999</v>
      </c>
      <c r="T21" s="13">
        <f t="shared" si="13"/>
        <v>2.5572926399999996</v>
      </c>
      <c r="U21" s="13">
        <f t="shared" ref="U21:U32" si="23">R21*$E$4</f>
        <v>7.4210224199999981</v>
      </c>
      <c r="V21" s="9">
        <f>HDD!B40</f>
        <v>87</v>
      </c>
      <c r="W21" s="9">
        <f>CDD!B21</f>
        <v>115</v>
      </c>
      <c r="Y21" s="31">
        <f t="shared" si="17"/>
        <v>651</v>
      </c>
      <c r="Z21" s="32">
        <f t="shared" si="18"/>
        <v>749.28</v>
      </c>
      <c r="AA21" s="46">
        <f t="shared" ref="AA21:AA32" si="24">H21+R21</f>
        <v>2174.3399999999997</v>
      </c>
      <c r="AB21" s="32">
        <f t="shared" si="19"/>
        <v>2.2218629999999999</v>
      </c>
      <c r="AC21" s="32">
        <f t="shared" si="20"/>
        <v>2.5572926399999996</v>
      </c>
      <c r="AD21" s="46">
        <f>E21+R21*E$4</f>
        <v>7.4210224199999981</v>
      </c>
    </row>
    <row r="22" spans="2:30">
      <c r="B22" s="1">
        <v>40797</v>
      </c>
      <c r="C22" s="2">
        <f>Gas!B18</f>
        <v>0</v>
      </c>
      <c r="D22" s="12">
        <f t="shared" si="8"/>
        <v>0</v>
      </c>
      <c r="E22" s="13">
        <f t="shared" si="9"/>
        <v>0</v>
      </c>
      <c r="G22" s="13">
        <f t="shared" si="14"/>
        <v>0</v>
      </c>
      <c r="H22" s="13">
        <f t="shared" si="15"/>
        <v>0</v>
      </c>
      <c r="I22" s="13"/>
      <c r="J22" s="37">
        <v>40787</v>
      </c>
      <c r="K22" s="35">
        <f>Elec!B18</f>
        <v>0</v>
      </c>
      <c r="L22" s="35">
        <f>Elec!C18</f>
        <v>0</v>
      </c>
      <c r="M22" s="4">
        <f t="shared" si="10"/>
        <v>452</v>
      </c>
      <c r="N22" s="35">
        <f>-(Elec!E18)</f>
        <v>452</v>
      </c>
      <c r="O22" s="9">
        <f t="shared" si="21"/>
        <v>452</v>
      </c>
      <c r="P22" s="9">
        <f t="shared" si="22"/>
        <v>0</v>
      </c>
      <c r="Q22" s="9">
        <f t="shared" si="11"/>
        <v>452</v>
      </c>
      <c r="R22" s="45">
        <f t="shared" si="12"/>
        <v>1509.6799999999998</v>
      </c>
      <c r="S22" s="13">
        <f t="shared" si="16"/>
        <v>1.5426759999999999</v>
      </c>
      <c r="T22" s="13">
        <f t="shared" si="13"/>
        <v>1.5426759999999999</v>
      </c>
      <c r="U22" s="13">
        <f t="shared" si="23"/>
        <v>5.152537839999999</v>
      </c>
      <c r="V22" s="9">
        <f>HDD!B41</f>
        <v>429</v>
      </c>
      <c r="W22" s="9">
        <f>CDD!B22</f>
        <v>17</v>
      </c>
      <c r="Y22" s="31">
        <f t="shared" si="17"/>
        <v>452</v>
      </c>
      <c r="Z22" s="32">
        <f t="shared" si="18"/>
        <v>452</v>
      </c>
      <c r="AA22" s="46">
        <f t="shared" si="24"/>
        <v>1509.6799999999998</v>
      </c>
      <c r="AB22" s="32">
        <f t="shared" si="19"/>
        <v>1.5426759999999999</v>
      </c>
      <c r="AC22" s="32">
        <f t="shared" si="20"/>
        <v>1.5426759999999999</v>
      </c>
      <c r="AD22" s="46">
        <f t="shared" ref="AD22:AD32" si="25">E22+R22*E$4</f>
        <v>5.152537839999999</v>
      </c>
    </row>
    <row r="23" spans="2:30">
      <c r="B23" s="1">
        <v>40827</v>
      </c>
      <c r="C23" s="2">
        <f>Gas!B19</f>
        <v>0</v>
      </c>
      <c r="D23" s="12">
        <f t="shared" si="8"/>
        <v>0</v>
      </c>
      <c r="E23" s="13">
        <f t="shared" si="9"/>
        <v>0</v>
      </c>
      <c r="G23" s="13">
        <f t="shared" si="14"/>
        <v>0</v>
      </c>
      <c r="H23" s="13">
        <f t="shared" si="15"/>
        <v>0</v>
      </c>
      <c r="I23" s="13"/>
      <c r="J23" s="37">
        <v>40817</v>
      </c>
      <c r="K23" s="35">
        <f>Elec!B19</f>
        <v>123</v>
      </c>
      <c r="L23" s="35">
        <f>Elec!C19</f>
        <v>0</v>
      </c>
      <c r="M23" s="4">
        <f t="shared" si="10"/>
        <v>499</v>
      </c>
      <c r="N23" s="35">
        <f>-(Elec!E19)</f>
        <v>376</v>
      </c>
      <c r="O23" s="9">
        <f t="shared" si="21"/>
        <v>376</v>
      </c>
      <c r="P23" s="9">
        <f t="shared" si="22"/>
        <v>123</v>
      </c>
      <c r="Q23" s="9">
        <f t="shared" si="11"/>
        <v>786.81999999999994</v>
      </c>
      <c r="R23" s="45">
        <f t="shared" si="12"/>
        <v>1666.6599999999999</v>
      </c>
      <c r="S23" s="13">
        <f t="shared" si="16"/>
        <v>1.7030869999999998</v>
      </c>
      <c r="T23" s="13">
        <f t="shared" si="13"/>
        <v>2.6854166599999996</v>
      </c>
      <c r="U23" s="13">
        <f t="shared" si="23"/>
        <v>5.6883105799999996</v>
      </c>
      <c r="V23" s="9">
        <f>HDD!B42</f>
        <v>610</v>
      </c>
      <c r="W23" s="9">
        <f>CDD!B23</f>
        <v>1</v>
      </c>
      <c r="Y23" s="31">
        <f t="shared" si="17"/>
        <v>499</v>
      </c>
      <c r="Z23" s="32">
        <f t="shared" si="18"/>
        <v>786.81999999999994</v>
      </c>
      <c r="AA23" s="46">
        <f t="shared" si="24"/>
        <v>1666.6599999999999</v>
      </c>
      <c r="AB23" s="32">
        <f t="shared" si="19"/>
        <v>1.7030869999999998</v>
      </c>
      <c r="AC23" s="32">
        <f t="shared" si="20"/>
        <v>2.6854166599999996</v>
      </c>
      <c r="AD23" s="46">
        <f t="shared" si="25"/>
        <v>5.6883105799999996</v>
      </c>
    </row>
    <row r="24" spans="2:30">
      <c r="B24" s="1">
        <v>40858</v>
      </c>
      <c r="C24" s="2">
        <f>Gas!B20</f>
        <v>0</v>
      </c>
      <c r="D24" s="12">
        <f t="shared" si="8"/>
        <v>0</v>
      </c>
      <c r="E24" s="13">
        <f t="shared" si="9"/>
        <v>0</v>
      </c>
      <c r="G24" s="13">
        <f t="shared" si="14"/>
        <v>0</v>
      </c>
      <c r="H24" s="13">
        <f t="shared" si="15"/>
        <v>0</v>
      </c>
      <c r="I24" s="13"/>
      <c r="J24" s="37">
        <v>40848</v>
      </c>
      <c r="K24" s="35">
        <f>Elec!B20</f>
        <v>272</v>
      </c>
      <c r="L24" s="35">
        <f>Elec!C20</f>
        <v>0</v>
      </c>
      <c r="M24" s="4">
        <f t="shared" si="10"/>
        <v>686</v>
      </c>
      <c r="N24" s="35">
        <f>-(Elec!E20)</f>
        <v>414</v>
      </c>
      <c r="O24" s="9">
        <f t="shared" si="21"/>
        <v>414</v>
      </c>
      <c r="P24" s="9">
        <f t="shared" si="22"/>
        <v>272</v>
      </c>
      <c r="Q24" s="9">
        <f t="shared" si="11"/>
        <v>1322.48</v>
      </c>
      <c r="R24" s="45">
        <f t="shared" si="12"/>
        <v>2291.2399999999998</v>
      </c>
      <c r="S24" s="13">
        <f t="shared" si="16"/>
        <v>2.3413179999999998</v>
      </c>
      <c r="T24" s="13">
        <f t="shared" si="13"/>
        <v>4.5136242399999995</v>
      </c>
      <c r="U24" s="13">
        <f t="shared" si="23"/>
        <v>7.8200021199999989</v>
      </c>
      <c r="V24" s="9">
        <f>HDD!B43</f>
        <v>906</v>
      </c>
      <c r="W24" s="9">
        <f>CDD!B24</f>
        <v>0</v>
      </c>
      <c r="Y24" s="31">
        <f t="shared" si="17"/>
        <v>686</v>
      </c>
      <c r="Z24" s="32">
        <f t="shared" si="18"/>
        <v>1322.48</v>
      </c>
      <c r="AA24" s="46">
        <f t="shared" si="24"/>
        <v>2291.2399999999998</v>
      </c>
      <c r="AB24" s="32">
        <f t="shared" si="19"/>
        <v>2.3413179999999998</v>
      </c>
      <c r="AC24" s="32">
        <f t="shared" si="20"/>
        <v>4.5136242399999995</v>
      </c>
      <c r="AD24" s="46">
        <f t="shared" si="25"/>
        <v>7.8200021199999989</v>
      </c>
    </row>
    <row r="25" spans="2:30">
      <c r="B25" s="1">
        <v>40888</v>
      </c>
      <c r="C25" s="2">
        <f>Gas!B21</f>
        <v>0</v>
      </c>
      <c r="D25" s="12">
        <f t="shared" si="8"/>
        <v>0</v>
      </c>
      <c r="E25" s="13">
        <f t="shared" si="9"/>
        <v>0</v>
      </c>
      <c r="G25" s="13">
        <f t="shared" si="14"/>
        <v>0</v>
      </c>
      <c r="H25" s="13">
        <f t="shared" si="15"/>
        <v>0</v>
      </c>
      <c r="I25" s="13"/>
      <c r="J25" s="37">
        <v>40878</v>
      </c>
      <c r="K25" s="35">
        <f>Elec!B21</f>
        <v>442</v>
      </c>
      <c r="L25" s="35">
        <f>Elec!C21</f>
        <v>0</v>
      </c>
      <c r="M25" s="4">
        <f t="shared" si="10"/>
        <v>747</v>
      </c>
      <c r="N25" s="35">
        <f>-(Elec!E21)</f>
        <v>305</v>
      </c>
      <c r="O25" s="9">
        <f t="shared" si="21"/>
        <v>305</v>
      </c>
      <c r="P25" s="9">
        <f t="shared" si="22"/>
        <v>442</v>
      </c>
      <c r="Q25" s="9">
        <f t="shared" si="11"/>
        <v>1781.28</v>
      </c>
      <c r="R25" s="45">
        <f t="shared" si="12"/>
        <v>2494.98</v>
      </c>
      <c r="S25" s="13">
        <f t="shared" si="16"/>
        <v>2.5495109999999999</v>
      </c>
      <c r="T25" s="13">
        <f t="shared" si="13"/>
        <v>6.0795086399999994</v>
      </c>
      <c r="U25" s="13">
        <f t="shared" si="23"/>
        <v>8.5153667399999993</v>
      </c>
      <c r="V25" s="9">
        <f>HDD!B44</f>
        <v>1071</v>
      </c>
      <c r="W25" s="9">
        <f>CDD!B25</f>
        <v>0</v>
      </c>
      <c r="Y25" s="31">
        <f t="shared" si="17"/>
        <v>747</v>
      </c>
      <c r="Z25" s="32">
        <f t="shared" si="18"/>
        <v>1781.28</v>
      </c>
      <c r="AA25" s="46">
        <f t="shared" si="24"/>
        <v>2494.98</v>
      </c>
      <c r="AB25" s="32">
        <f t="shared" si="19"/>
        <v>2.5495109999999999</v>
      </c>
      <c r="AC25" s="32">
        <f t="shared" si="20"/>
        <v>6.0795086399999994</v>
      </c>
      <c r="AD25" s="46">
        <f t="shared" si="25"/>
        <v>8.5153667399999993</v>
      </c>
    </row>
    <row r="26" spans="2:30">
      <c r="B26" s="1">
        <v>40920</v>
      </c>
      <c r="C26" s="2">
        <f>Gas!B22</f>
        <v>0</v>
      </c>
      <c r="D26" s="12">
        <f t="shared" si="8"/>
        <v>0</v>
      </c>
      <c r="E26" s="13">
        <f t="shared" si="9"/>
        <v>0</v>
      </c>
      <c r="G26" s="13">
        <f t="shared" si="14"/>
        <v>0</v>
      </c>
      <c r="H26" s="13">
        <f t="shared" si="15"/>
        <v>0</v>
      </c>
      <c r="I26" s="13"/>
      <c r="J26" s="37">
        <v>40909</v>
      </c>
      <c r="K26" s="35">
        <f>Elec!B22</f>
        <v>665</v>
      </c>
      <c r="L26" s="35">
        <f>Elec!C22</f>
        <v>0</v>
      </c>
      <c r="M26" s="4">
        <f t="shared" si="10"/>
        <v>1035</v>
      </c>
      <c r="N26" s="35">
        <f>-(Elec!E22)</f>
        <v>370</v>
      </c>
      <c r="O26" s="9">
        <f t="shared" si="21"/>
        <v>370</v>
      </c>
      <c r="P26" s="9">
        <f t="shared" si="22"/>
        <v>665</v>
      </c>
      <c r="Q26" s="9">
        <f t="shared" si="11"/>
        <v>2591.1</v>
      </c>
      <c r="R26" s="45">
        <f t="shared" si="12"/>
        <v>3456.8999999999996</v>
      </c>
      <c r="S26" s="13">
        <f t="shared" si="16"/>
        <v>3.5324549999999997</v>
      </c>
      <c r="T26" s="13">
        <f t="shared" si="13"/>
        <v>8.8434242999999988</v>
      </c>
      <c r="U26" s="13">
        <f t="shared" si="23"/>
        <v>11.798399699999997</v>
      </c>
      <c r="V26" s="9">
        <f>HDD!B45</f>
        <v>890</v>
      </c>
      <c r="W26" s="9">
        <f>CDD!B26</f>
        <v>0</v>
      </c>
      <c r="Y26" s="31">
        <f t="shared" si="17"/>
        <v>1035</v>
      </c>
      <c r="Z26" s="32">
        <f t="shared" si="18"/>
        <v>2591.1</v>
      </c>
      <c r="AA26" s="46">
        <f t="shared" si="24"/>
        <v>3456.8999999999996</v>
      </c>
      <c r="AB26" s="32">
        <f t="shared" si="19"/>
        <v>3.5324549999999997</v>
      </c>
      <c r="AC26" s="32">
        <f t="shared" si="20"/>
        <v>8.8434242999999988</v>
      </c>
      <c r="AD26" s="46">
        <f t="shared" si="25"/>
        <v>11.798399699999997</v>
      </c>
    </row>
    <row r="27" spans="2:30">
      <c r="B27" s="1">
        <v>40940</v>
      </c>
      <c r="C27" s="2">
        <f>Gas!B23</f>
        <v>0</v>
      </c>
      <c r="D27" s="12">
        <f t="shared" si="8"/>
        <v>0</v>
      </c>
      <c r="E27" s="13">
        <f t="shared" si="9"/>
        <v>0</v>
      </c>
      <c r="G27" s="13">
        <f t="shared" si="14"/>
        <v>0</v>
      </c>
      <c r="H27" s="13">
        <f t="shared" si="15"/>
        <v>0</v>
      </c>
      <c r="I27" s="13"/>
      <c r="J27" s="37">
        <v>40940</v>
      </c>
      <c r="K27" s="35">
        <f>Elec!B23</f>
        <v>269</v>
      </c>
      <c r="L27" s="35">
        <f>Elec!C23</f>
        <v>0</v>
      </c>
      <c r="M27" s="4">
        <f t="shared" si="10"/>
        <v>660</v>
      </c>
      <c r="N27" s="35">
        <f>-(Elec!E23)</f>
        <v>391</v>
      </c>
      <c r="O27" s="9">
        <f t="shared" si="21"/>
        <v>391</v>
      </c>
      <c r="P27" s="9">
        <f t="shared" si="22"/>
        <v>269</v>
      </c>
      <c r="Q27" s="9">
        <f t="shared" si="11"/>
        <v>1289.46</v>
      </c>
      <c r="R27" s="45">
        <f t="shared" si="12"/>
        <v>2204.4</v>
      </c>
      <c r="S27" s="13">
        <f t="shared" si="16"/>
        <v>2.25258</v>
      </c>
      <c r="T27" s="13">
        <f t="shared" si="13"/>
        <v>4.4009269799999995</v>
      </c>
      <c r="U27" s="13">
        <f t="shared" si="23"/>
        <v>7.5236171999999994</v>
      </c>
      <c r="V27" s="9">
        <f>HDD!B46</f>
        <v>626</v>
      </c>
      <c r="W27" s="9">
        <f>CDD!B27</f>
        <v>22</v>
      </c>
      <c r="Y27" s="31">
        <f t="shared" si="17"/>
        <v>660</v>
      </c>
      <c r="Z27" s="32">
        <f t="shared" si="18"/>
        <v>1289.46</v>
      </c>
      <c r="AA27" s="46">
        <f t="shared" si="24"/>
        <v>2204.4</v>
      </c>
      <c r="AB27" s="32">
        <f t="shared" si="19"/>
        <v>2.25258</v>
      </c>
      <c r="AC27" s="32">
        <f t="shared" si="20"/>
        <v>4.4009269799999995</v>
      </c>
      <c r="AD27" s="46">
        <f t="shared" si="25"/>
        <v>7.5236171999999994</v>
      </c>
    </row>
    <row r="28" spans="2:30">
      <c r="B28" s="1">
        <v>40969</v>
      </c>
      <c r="C28" s="2">
        <f>Gas!B24</f>
        <v>0</v>
      </c>
      <c r="D28" s="12">
        <f t="shared" si="8"/>
        <v>0</v>
      </c>
      <c r="E28" s="13">
        <f t="shared" si="9"/>
        <v>0</v>
      </c>
      <c r="G28" s="13">
        <f t="shared" si="14"/>
        <v>0</v>
      </c>
      <c r="H28" s="13">
        <f t="shared" si="15"/>
        <v>0</v>
      </c>
      <c r="I28" s="13"/>
      <c r="J28" s="37">
        <v>40969</v>
      </c>
      <c r="K28" s="35">
        <f>Elec!B24</f>
        <v>160</v>
      </c>
      <c r="L28" s="35">
        <f>Elec!C24</f>
        <v>0</v>
      </c>
      <c r="M28" s="4">
        <f t="shared" si="10"/>
        <v>843</v>
      </c>
      <c r="N28" s="35">
        <f>-(Elec!E24)</f>
        <v>683</v>
      </c>
      <c r="O28" s="9">
        <f t="shared" si="21"/>
        <v>683</v>
      </c>
      <c r="P28" s="9">
        <f t="shared" si="22"/>
        <v>160</v>
      </c>
      <c r="Q28" s="9">
        <f t="shared" si="11"/>
        <v>1217.4000000000001</v>
      </c>
      <c r="R28" s="45">
        <f t="shared" si="12"/>
        <v>2815.62</v>
      </c>
      <c r="S28" s="13">
        <f t="shared" si="16"/>
        <v>2.8771589999999998</v>
      </c>
      <c r="T28" s="13">
        <f t="shared" si="13"/>
        <v>4.1549861999999997</v>
      </c>
      <c r="U28" s="13">
        <f t="shared" si="23"/>
        <v>9.6097110599999986</v>
      </c>
      <c r="V28" s="9">
        <f>HDD!B47</f>
        <v>441</v>
      </c>
      <c r="W28" s="9">
        <f>CDD!B28</f>
        <v>27</v>
      </c>
      <c r="Y28" s="31">
        <f t="shared" si="17"/>
        <v>843</v>
      </c>
      <c r="Z28" s="32">
        <f t="shared" si="18"/>
        <v>1217.4000000000001</v>
      </c>
      <c r="AA28" s="46">
        <f t="shared" si="24"/>
        <v>2815.62</v>
      </c>
      <c r="AB28" s="32">
        <f t="shared" si="19"/>
        <v>2.8771589999999998</v>
      </c>
      <c r="AC28" s="32">
        <f t="shared" si="20"/>
        <v>4.1549861999999997</v>
      </c>
      <c r="AD28" s="46">
        <f t="shared" si="25"/>
        <v>9.6097110599999986</v>
      </c>
    </row>
    <row r="29" spans="2:30">
      <c r="B29" s="1">
        <v>41000</v>
      </c>
      <c r="C29" s="2">
        <f>Gas!B25</f>
        <v>0</v>
      </c>
      <c r="D29" s="12">
        <f t="shared" si="8"/>
        <v>0</v>
      </c>
      <c r="E29" s="13">
        <f t="shared" si="9"/>
        <v>0</v>
      </c>
      <c r="G29" s="13">
        <f t="shared" si="14"/>
        <v>0</v>
      </c>
      <c r="H29" s="13">
        <f t="shared" si="15"/>
        <v>0</v>
      </c>
      <c r="I29" s="13"/>
      <c r="J29" s="37">
        <v>41000</v>
      </c>
      <c r="K29" s="35">
        <f>Elec!B25</f>
        <v>0</v>
      </c>
      <c r="L29" s="35">
        <f>Elec!C25</f>
        <v>-115</v>
      </c>
      <c r="M29" s="4">
        <f t="shared" si="10"/>
        <v>515</v>
      </c>
      <c r="N29" s="35">
        <f>-(Elec!E25)</f>
        <v>630</v>
      </c>
      <c r="O29" s="9">
        <f t="shared" si="21"/>
        <v>515</v>
      </c>
      <c r="P29" s="9">
        <f t="shared" si="22"/>
        <v>0</v>
      </c>
      <c r="Q29" s="9">
        <f t="shared" si="11"/>
        <v>515</v>
      </c>
      <c r="R29" s="45">
        <f t="shared" si="12"/>
        <v>1720.1</v>
      </c>
      <c r="S29" s="13">
        <f t="shared" si="16"/>
        <v>1.757695</v>
      </c>
      <c r="T29" s="13">
        <f t="shared" si="13"/>
        <v>1.757695</v>
      </c>
      <c r="U29" s="13">
        <f t="shared" si="23"/>
        <v>5.8707012999999995</v>
      </c>
      <c r="V29" s="9">
        <f>HDD!B48</f>
        <v>160</v>
      </c>
      <c r="W29" s="9">
        <f>CDD!B29</f>
        <v>104</v>
      </c>
      <c r="Y29" s="31">
        <f t="shared" si="17"/>
        <v>515</v>
      </c>
      <c r="Z29" s="32">
        <f t="shared" si="18"/>
        <v>515</v>
      </c>
      <c r="AA29" s="46">
        <f t="shared" si="24"/>
        <v>1720.1</v>
      </c>
      <c r="AB29" s="32">
        <f t="shared" si="19"/>
        <v>1.757695</v>
      </c>
      <c r="AC29" s="32">
        <f t="shared" si="20"/>
        <v>1.757695</v>
      </c>
      <c r="AD29" s="46">
        <f t="shared" si="25"/>
        <v>5.8707012999999995</v>
      </c>
    </row>
    <row r="30" spans="2:30">
      <c r="B30" s="1">
        <v>41030</v>
      </c>
      <c r="C30" s="2">
        <f>Gas!B26</f>
        <v>0</v>
      </c>
      <c r="D30" s="12">
        <f t="shared" si="8"/>
        <v>0</v>
      </c>
      <c r="E30" s="13">
        <f t="shared" si="9"/>
        <v>0</v>
      </c>
      <c r="G30" s="13">
        <f t="shared" si="14"/>
        <v>0</v>
      </c>
      <c r="H30" s="13">
        <f t="shared" si="15"/>
        <v>0</v>
      </c>
      <c r="I30" s="13"/>
      <c r="J30" s="37">
        <v>41030</v>
      </c>
      <c r="K30" s="35">
        <f>Elec!B26</f>
        <v>0</v>
      </c>
      <c r="L30" s="35">
        <f>Elec!C26</f>
        <v>-128</v>
      </c>
      <c r="M30" s="4">
        <f t="shared" si="10"/>
        <v>491</v>
      </c>
      <c r="N30" s="35">
        <f>-(Elec!E26)</f>
        <v>619</v>
      </c>
      <c r="O30" s="9">
        <f t="shared" si="21"/>
        <v>491</v>
      </c>
      <c r="P30" s="9">
        <f t="shared" si="22"/>
        <v>0</v>
      </c>
      <c r="Q30" s="9">
        <f t="shared" si="11"/>
        <v>491</v>
      </c>
      <c r="R30" s="45">
        <f t="shared" si="12"/>
        <v>1639.9399999999998</v>
      </c>
      <c r="S30" s="13">
        <f t="shared" si="16"/>
        <v>1.6757829999999998</v>
      </c>
      <c r="T30" s="13">
        <f t="shared" si="13"/>
        <v>1.6757829999999998</v>
      </c>
      <c r="U30" s="13">
        <f t="shared" si="23"/>
        <v>5.5971152199999992</v>
      </c>
      <c r="V30" s="9">
        <f>HDD!B49</f>
        <v>87</v>
      </c>
      <c r="W30" s="9">
        <f>CDD!B30</f>
        <v>162</v>
      </c>
      <c r="Y30" s="31">
        <f t="shared" si="17"/>
        <v>491</v>
      </c>
      <c r="Z30" s="32">
        <f t="shared" si="18"/>
        <v>491</v>
      </c>
      <c r="AA30" s="46">
        <f t="shared" si="24"/>
        <v>1639.9399999999998</v>
      </c>
      <c r="AB30" s="32">
        <f t="shared" si="19"/>
        <v>1.6757829999999998</v>
      </c>
      <c r="AC30" s="32">
        <f t="shared" si="20"/>
        <v>1.6757829999999998</v>
      </c>
      <c r="AD30" s="46">
        <f t="shared" si="25"/>
        <v>5.5971152199999992</v>
      </c>
    </row>
    <row r="31" spans="2:30">
      <c r="B31" s="1">
        <v>41061</v>
      </c>
      <c r="C31" s="2">
        <f>Gas!B27</f>
        <v>0</v>
      </c>
      <c r="D31" s="12">
        <f t="shared" si="8"/>
        <v>0</v>
      </c>
      <c r="E31" s="13">
        <f t="shared" si="9"/>
        <v>0</v>
      </c>
      <c r="G31" s="13">
        <f t="shared" si="14"/>
        <v>0</v>
      </c>
      <c r="H31" s="13">
        <f t="shared" si="15"/>
        <v>0</v>
      </c>
      <c r="I31" s="13"/>
      <c r="J31" s="37">
        <v>41061</v>
      </c>
      <c r="K31" s="35">
        <f>Elec!B27</f>
        <v>0</v>
      </c>
      <c r="L31" s="35">
        <f>Elec!C27</f>
        <v>-77</v>
      </c>
      <c r="M31" s="4">
        <f t="shared" si="10"/>
        <v>622</v>
      </c>
      <c r="N31" s="35">
        <f>-(Elec!E27)</f>
        <v>699</v>
      </c>
      <c r="O31" s="9">
        <f t="shared" si="21"/>
        <v>622</v>
      </c>
      <c r="P31" s="9">
        <f t="shared" si="22"/>
        <v>0</v>
      </c>
      <c r="Q31" s="9">
        <f t="shared" si="11"/>
        <v>622</v>
      </c>
      <c r="R31" s="45">
        <f t="shared" si="12"/>
        <v>2077.48</v>
      </c>
      <c r="S31" s="13">
        <f t="shared" si="16"/>
        <v>2.1228859999999998</v>
      </c>
      <c r="T31" s="13">
        <f t="shared" si="13"/>
        <v>2.1228859999999998</v>
      </c>
      <c r="U31" s="13">
        <f t="shared" si="23"/>
        <v>7.0904392399999994</v>
      </c>
      <c r="V31" s="9">
        <f>HDD!B50</f>
        <v>15</v>
      </c>
      <c r="W31" s="9">
        <f>CDD!B31</f>
        <v>333</v>
      </c>
      <c r="Y31" s="31">
        <f t="shared" si="17"/>
        <v>622</v>
      </c>
      <c r="Z31" s="32">
        <f t="shared" si="18"/>
        <v>622</v>
      </c>
      <c r="AA31" s="46">
        <f t="shared" si="24"/>
        <v>2077.48</v>
      </c>
      <c r="AB31" s="32">
        <f t="shared" si="19"/>
        <v>2.1228859999999998</v>
      </c>
      <c r="AC31" s="32">
        <f t="shared" si="20"/>
        <v>2.1228859999999998</v>
      </c>
      <c r="AD31" s="46">
        <f t="shared" si="25"/>
        <v>7.0904392399999994</v>
      </c>
    </row>
    <row r="32" spans="2:30">
      <c r="B32" s="1">
        <v>41101</v>
      </c>
      <c r="C32" s="2">
        <f>Gas!B28</f>
        <v>0</v>
      </c>
      <c r="D32" s="12">
        <f t="shared" si="8"/>
        <v>0</v>
      </c>
      <c r="E32" s="13">
        <f t="shared" si="9"/>
        <v>0</v>
      </c>
      <c r="G32" s="13">
        <f t="shared" si="14"/>
        <v>0</v>
      </c>
      <c r="H32" s="13">
        <f t="shared" si="15"/>
        <v>0</v>
      </c>
      <c r="I32" s="13"/>
      <c r="J32" s="37">
        <v>41091</v>
      </c>
      <c r="K32" s="35">
        <f>Elec!B28</f>
        <v>0</v>
      </c>
      <c r="L32" s="35">
        <f>Elec!C28</f>
        <v>-211</v>
      </c>
      <c r="M32" s="4">
        <f t="shared" si="10"/>
        <v>496</v>
      </c>
      <c r="N32" s="35">
        <f>-(Elec!E28)</f>
        <v>707</v>
      </c>
      <c r="O32" s="9">
        <f t="shared" si="21"/>
        <v>496</v>
      </c>
      <c r="P32" s="9">
        <f t="shared" si="22"/>
        <v>0</v>
      </c>
      <c r="Q32" s="9">
        <f t="shared" si="11"/>
        <v>496</v>
      </c>
      <c r="R32" s="45">
        <f t="shared" si="12"/>
        <v>1656.6399999999999</v>
      </c>
      <c r="S32" s="13">
        <f t="shared" si="16"/>
        <v>1.6928479999999999</v>
      </c>
      <c r="T32" s="13">
        <f t="shared" si="13"/>
        <v>1.6928479999999999</v>
      </c>
      <c r="U32" s="13">
        <f t="shared" si="23"/>
        <v>5.6541123199999994</v>
      </c>
      <c r="V32" s="9">
        <f>HDD!B51</f>
        <v>36</v>
      </c>
      <c r="W32" s="9">
        <f>CDD!B32</f>
        <v>266</v>
      </c>
      <c r="Y32" s="33">
        <f t="shared" si="17"/>
        <v>496</v>
      </c>
      <c r="Z32" s="34">
        <f t="shared" si="18"/>
        <v>496</v>
      </c>
      <c r="AA32" s="47">
        <f t="shared" si="24"/>
        <v>1656.6399999999999</v>
      </c>
      <c r="AB32" s="34">
        <f t="shared" si="19"/>
        <v>1.6928479999999999</v>
      </c>
      <c r="AC32" s="34">
        <f t="shared" si="20"/>
        <v>1.6928479999999999</v>
      </c>
      <c r="AD32" s="46">
        <f t="shared" si="25"/>
        <v>5.6541123199999994</v>
      </c>
    </row>
    <row r="33" spans="1:30">
      <c r="B33" s="1">
        <v>41132</v>
      </c>
      <c r="C33" s="2">
        <f>Gas!B29</f>
        <v>0</v>
      </c>
      <c r="D33" s="12">
        <f t="shared" si="8"/>
        <v>0</v>
      </c>
      <c r="E33" s="13">
        <f t="shared" si="9"/>
        <v>0</v>
      </c>
      <c r="J33" s="4"/>
      <c r="K33" s="4"/>
      <c r="L33" s="4"/>
      <c r="M33" s="4"/>
      <c r="N33" s="4" t="s">
        <v>87</v>
      </c>
      <c r="O33">
        <f>SUM(O27:O32)</f>
        <v>3198</v>
      </c>
      <c r="P33" s="9">
        <f>SUM(P21:P32)</f>
        <v>1973</v>
      </c>
      <c r="Q33" s="13"/>
      <c r="R33" s="9" t="s">
        <v>87</v>
      </c>
      <c r="S33" s="13">
        <f>SUM(S27:S32)</f>
        <v>12.378950999999999</v>
      </c>
      <c r="T33" s="13">
        <f>SUM(T27:T32)</f>
        <v>15.805125179999997</v>
      </c>
      <c r="U33" s="13">
        <f>SUM(U27:U32)</f>
        <v>41.345696340000003</v>
      </c>
      <c r="AB33" s="42">
        <f t="shared" si="19"/>
        <v>12.378950999999999</v>
      </c>
    </row>
    <row r="34" spans="1:30">
      <c r="B34" s="9"/>
      <c r="C34" s="3"/>
      <c r="D34" s="3"/>
      <c r="E34" s="13"/>
      <c r="M34" s="9"/>
      <c r="O34" s="13">
        <f>O33*$E$4</f>
        <v>10.914774</v>
      </c>
      <c r="P34" s="9">
        <f>SUM(P27:P32)</f>
        <v>429</v>
      </c>
      <c r="Q34" s="4"/>
      <c r="R34" s="9" t="s">
        <v>89</v>
      </c>
      <c r="S34" s="13">
        <f>SUM(S21:S32)</f>
        <v>26.269860999999999</v>
      </c>
      <c r="T34" s="13"/>
      <c r="U34" s="13">
        <f t="shared" ref="U34" si="26">SUM(U21:U32)</f>
        <v>87.741335739999982</v>
      </c>
      <c r="W34" s="17"/>
      <c r="X34" s="17"/>
      <c r="Y34" s="17"/>
      <c r="Z34" s="17"/>
      <c r="AA34" s="17"/>
      <c r="AB34" s="17"/>
      <c r="AC34" s="17"/>
      <c r="AD34" s="17"/>
    </row>
    <row r="35" spans="1:30" s="9" customFormat="1">
      <c r="C35" s="35"/>
      <c r="D35" s="35"/>
      <c r="E35" s="13"/>
      <c r="W35" s="17"/>
      <c r="X35" s="17"/>
      <c r="Y35" s="17"/>
      <c r="Z35" s="17"/>
      <c r="AA35" s="17"/>
      <c r="AB35" s="17"/>
      <c r="AC35" s="17"/>
      <c r="AD35" s="17"/>
    </row>
    <row r="36" spans="1:30" s="9" customFormat="1">
      <c r="A36" s="9" t="s">
        <v>85</v>
      </c>
      <c r="C36" s="35"/>
      <c r="D36" s="35"/>
      <c r="E36" s="13"/>
      <c r="W36" s="17"/>
      <c r="X36" s="17"/>
      <c r="Y36" s="17"/>
      <c r="Z36" s="17"/>
      <c r="AA36" s="17"/>
      <c r="AB36" s="17"/>
      <c r="AC36" s="17"/>
      <c r="AD36" s="17"/>
    </row>
    <row r="37" spans="1:30" s="9" customFormat="1">
      <c r="A37" s="50"/>
      <c r="B37" s="51"/>
      <c r="C37" s="52"/>
      <c r="D37" s="52"/>
      <c r="E37" s="54"/>
      <c r="F37" s="51"/>
      <c r="G37" s="51"/>
      <c r="H37" s="51"/>
      <c r="I37" s="51"/>
      <c r="J37" s="51"/>
      <c r="K37" s="51"/>
      <c r="L37" s="51"/>
      <c r="M37" s="51">
        <f>MIN(M27:M32)</f>
        <v>491</v>
      </c>
      <c r="N37" s="51"/>
      <c r="O37" s="51"/>
      <c r="P37" s="51"/>
      <c r="Q37" s="51"/>
      <c r="R37" s="51"/>
      <c r="S37" s="54">
        <f t="shared" ref="S37:S39" si="27">M37*E$4</f>
        <v>1.6757829999999998</v>
      </c>
      <c r="T37" s="54">
        <f>S37*$E$5</f>
        <v>5.5971152199999992</v>
      </c>
      <c r="U37" s="54"/>
      <c r="V37" s="51"/>
      <c r="W37" s="51"/>
      <c r="X37" s="51"/>
      <c r="Y37" s="51"/>
      <c r="Z37" s="51"/>
      <c r="AA37" s="51"/>
      <c r="AB37" s="54">
        <f t="shared" ref="AB37" si="28">D37+S37</f>
        <v>1.6757829999999998</v>
      </c>
      <c r="AC37" s="54"/>
      <c r="AD37" s="55">
        <f>E37+T37</f>
        <v>5.5971152199999992</v>
      </c>
    </row>
    <row r="38" spans="1:30" s="9" customFormat="1">
      <c r="A38" s="9" t="s">
        <v>64</v>
      </c>
      <c r="C38" s="35"/>
      <c r="D38" s="35"/>
      <c r="E38" s="13"/>
      <c r="W38" s="17"/>
      <c r="X38" s="17"/>
      <c r="Y38" s="17"/>
      <c r="Z38" s="17"/>
      <c r="AA38" s="17"/>
      <c r="AB38" s="17"/>
      <c r="AC38" s="17"/>
      <c r="AD38" s="17"/>
    </row>
    <row r="39" spans="1:30" s="9" customFormat="1">
      <c r="A39" s="50"/>
      <c r="B39" s="51"/>
      <c r="C39" s="52">
        <f>MIN(C27:C32)</f>
        <v>0</v>
      </c>
      <c r="D39" s="53">
        <f t="shared" ref="D39" si="29">C39*E$2</f>
        <v>0</v>
      </c>
      <c r="E39" s="54">
        <f t="shared" ref="E39" si="30">D39*E$6</f>
        <v>0</v>
      </c>
      <c r="F39" s="51"/>
      <c r="G39" s="54">
        <f t="shared" ref="G39" si="31">D39*E$1</f>
        <v>0</v>
      </c>
      <c r="H39" s="54">
        <f t="shared" ref="H39" si="32">E39*E$1</f>
        <v>0</v>
      </c>
      <c r="I39" s="51"/>
      <c r="J39" s="51"/>
      <c r="K39" s="51"/>
      <c r="L39" s="51"/>
      <c r="M39" s="51">
        <f>SUM(M40:M41)/2</f>
        <v>471.5</v>
      </c>
      <c r="N39" s="51"/>
      <c r="O39" s="51"/>
      <c r="P39" s="51"/>
      <c r="Q39" s="51"/>
      <c r="R39" s="51"/>
      <c r="S39" s="54">
        <f t="shared" si="27"/>
        <v>1.6092294999999999</v>
      </c>
      <c r="T39" s="54">
        <f>S39*$E$5</f>
        <v>5.3748265299999991</v>
      </c>
      <c r="U39" s="54"/>
      <c r="V39" s="51"/>
      <c r="W39" s="51"/>
      <c r="X39" s="51"/>
      <c r="Y39" s="51"/>
      <c r="Z39" s="51"/>
      <c r="AA39" s="51"/>
      <c r="AB39" s="54">
        <f t="shared" ref="AB39" si="33">D39+S39</f>
        <v>1.6092294999999999</v>
      </c>
      <c r="AC39" s="54"/>
      <c r="AD39" s="55">
        <f>E39+T39</f>
        <v>5.3748265299999991</v>
      </c>
    </row>
    <row r="40" spans="1:30" s="9" customFormat="1">
      <c r="C40" s="35"/>
      <c r="D40" s="35"/>
      <c r="E40" s="13"/>
      <c r="M40" s="9">
        <f>MIN(M21:M32)</f>
        <v>452</v>
      </c>
      <c r="W40" s="17"/>
      <c r="X40" s="17"/>
      <c r="Y40" s="17"/>
      <c r="Z40" s="17"/>
      <c r="AA40" s="17"/>
      <c r="AB40" s="17"/>
      <c r="AC40" s="17"/>
      <c r="AD40" s="17"/>
    </row>
    <row r="41" spans="1:30">
      <c r="M41" s="9">
        <f>MIN(M23:M32,M21)</f>
        <v>491</v>
      </c>
      <c r="W41" s="22"/>
      <c r="X41" s="14"/>
      <c r="Y41" s="14" t="s">
        <v>16</v>
      </c>
      <c r="Z41" s="14" t="s">
        <v>19</v>
      </c>
      <c r="AA41" s="14" t="s">
        <v>62</v>
      </c>
      <c r="AB41" s="14" t="s">
        <v>17</v>
      </c>
      <c r="AC41" s="14" t="s">
        <v>18</v>
      </c>
      <c r="AD41" s="15" t="s">
        <v>62</v>
      </c>
    </row>
    <row r="42" spans="1:30">
      <c r="W42" s="23"/>
      <c r="X42" s="17"/>
      <c r="Y42" s="17"/>
      <c r="Z42" s="17"/>
      <c r="AA42" s="17"/>
      <c r="AB42" s="17"/>
      <c r="AC42" s="17"/>
      <c r="AD42" s="18"/>
    </row>
    <row r="43" spans="1:30">
      <c r="M43">
        <f>SUM(M27:M32)</f>
        <v>3627</v>
      </c>
      <c r="W43" s="23" t="s">
        <v>56</v>
      </c>
      <c r="X43" s="17"/>
      <c r="Y43" s="32">
        <f t="shared" ref="Y43:AD43" si="34">SUM(Y21:Y32)</f>
        <v>7697</v>
      </c>
      <c r="Z43" s="32">
        <f t="shared" si="34"/>
        <v>12313.819999999998</v>
      </c>
      <c r="AA43" s="32">
        <f t="shared" si="34"/>
        <v>25707.979999999996</v>
      </c>
      <c r="AB43" s="32">
        <f t="shared" si="34"/>
        <v>26.269860999999999</v>
      </c>
      <c r="AC43" s="32">
        <f t="shared" si="34"/>
        <v>42.02706766</v>
      </c>
      <c r="AD43" s="48">
        <f t="shared" si="34"/>
        <v>87.741335739999982</v>
      </c>
    </row>
    <row r="44" spans="1:30">
      <c r="M44">
        <f>SUM(M21:M32)</f>
        <v>7697</v>
      </c>
      <c r="W44" s="23"/>
      <c r="X44" s="17"/>
      <c r="Y44" s="17"/>
      <c r="Z44" s="17"/>
      <c r="AA44" s="17"/>
      <c r="AB44" s="17"/>
      <c r="AC44" s="17"/>
      <c r="AD44" s="18"/>
    </row>
    <row r="45" spans="1:30">
      <c r="W45" s="28" t="s">
        <v>57</v>
      </c>
      <c r="X45" s="20"/>
      <c r="Y45" s="34">
        <f t="shared" ref="Y45:AD45" si="35">SUM(Y27:Y32)</f>
        <v>3627</v>
      </c>
      <c r="Z45" s="34">
        <f t="shared" si="35"/>
        <v>4630.8600000000006</v>
      </c>
      <c r="AA45" s="34">
        <f t="shared" si="35"/>
        <v>12114.18</v>
      </c>
      <c r="AB45" s="34">
        <f t="shared" si="35"/>
        <v>12.378950999999999</v>
      </c>
      <c r="AC45" s="34">
        <f t="shared" si="35"/>
        <v>15.805125179999997</v>
      </c>
      <c r="AD45" s="49">
        <f t="shared" si="35"/>
        <v>41.345696340000003</v>
      </c>
    </row>
    <row r="46" spans="1:30">
      <c r="A46" s="9" t="s">
        <v>86</v>
      </c>
      <c r="R46">
        <f>SUM(R21:R32)*E4</f>
        <v>87.741335739999982</v>
      </c>
    </row>
  </sheetData>
  <mergeCells count="1">
    <mergeCell ref="K8:L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D53"/>
  <sheetViews>
    <sheetView topLeftCell="A23" workbookViewId="0">
      <selection activeCell="B8" sqref="B8"/>
    </sheetView>
  </sheetViews>
  <sheetFormatPr defaultRowHeight="15"/>
  <cols>
    <col min="1" max="1" width="13.140625" bestFit="1" customWidth="1"/>
  </cols>
  <sheetData>
    <row r="1" spans="1:4">
      <c r="A1" s="9" t="s">
        <v>5</v>
      </c>
      <c r="B1" s="9" t="s">
        <v>6</v>
      </c>
      <c r="C1" s="9"/>
      <c r="D1" s="9"/>
    </row>
    <row r="2" spans="1:4">
      <c r="A2" s="9" t="s">
        <v>7</v>
      </c>
      <c r="B2" s="9" t="s">
        <v>8</v>
      </c>
      <c r="C2" s="9"/>
      <c r="D2" s="9"/>
    </row>
    <row r="3" spans="1:4">
      <c r="A3" s="9" t="s">
        <v>9</v>
      </c>
      <c r="B3" s="9" t="s">
        <v>10</v>
      </c>
      <c r="C3" s="9"/>
      <c r="D3" s="9"/>
    </row>
    <row r="4" spans="1:4">
      <c r="A4" s="9" t="s">
        <v>11</v>
      </c>
      <c r="B4" s="9" t="s">
        <v>45</v>
      </c>
      <c r="C4" s="9"/>
      <c r="D4" s="9"/>
    </row>
    <row r="5" spans="1:4">
      <c r="A5" s="9" t="s">
        <v>12</v>
      </c>
      <c r="B5" s="9" t="s">
        <v>46</v>
      </c>
      <c r="C5" s="9"/>
      <c r="D5" s="9"/>
    </row>
    <row r="6" spans="1:4">
      <c r="A6" s="9"/>
      <c r="B6" s="9"/>
      <c r="C6" s="9"/>
      <c r="D6" s="9"/>
    </row>
    <row r="7" spans="1:4">
      <c r="A7" s="9" t="s">
        <v>13</v>
      </c>
      <c r="B7" s="9" t="s">
        <v>0</v>
      </c>
      <c r="C7" s="9" t="s">
        <v>14</v>
      </c>
      <c r="D7" s="9"/>
    </row>
    <row r="8" spans="1:4" s="8" customFormat="1">
      <c r="A8" s="10">
        <v>39814</v>
      </c>
      <c r="B8" s="9">
        <v>1407</v>
      </c>
      <c r="C8" s="9">
        <v>0</v>
      </c>
      <c r="D8" s="9"/>
    </row>
    <row r="9" spans="1:4" s="5" customFormat="1">
      <c r="A9" s="10">
        <v>39845</v>
      </c>
      <c r="B9" s="9">
        <v>1017</v>
      </c>
      <c r="C9" s="9">
        <v>0</v>
      </c>
      <c r="D9" s="9"/>
    </row>
    <row r="10" spans="1:4">
      <c r="A10" s="10">
        <v>39873</v>
      </c>
      <c r="B10" s="9">
        <v>890</v>
      </c>
      <c r="C10" s="9">
        <v>0</v>
      </c>
      <c r="D10" s="9"/>
    </row>
    <row r="11" spans="1:4">
      <c r="A11" s="10">
        <v>39904</v>
      </c>
      <c r="B11" s="9">
        <v>478</v>
      </c>
      <c r="C11" s="9">
        <v>0.3</v>
      </c>
      <c r="D11" s="9"/>
    </row>
    <row r="12" spans="1:4">
      <c r="A12" s="10">
        <v>39934</v>
      </c>
      <c r="B12" s="9">
        <v>260</v>
      </c>
      <c r="C12" s="9">
        <v>0</v>
      </c>
      <c r="D12" s="9"/>
    </row>
    <row r="13" spans="1:4">
      <c r="A13" s="10">
        <v>39965</v>
      </c>
      <c r="B13" s="9">
        <v>95</v>
      </c>
      <c r="C13" s="9">
        <v>0</v>
      </c>
      <c r="D13" s="9"/>
    </row>
    <row r="14" spans="1:4">
      <c r="A14" s="10">
        <v>39995</v>
      </c>
      <c r="B14" s="9">
        <v>52</v>
      </c>
      <c r="C14" s="9">
        <v>0.5</v>
      </c>
      <c r="D14" s="9"/>
    </row>
    <row r="15" spans="1:4">
      <c r="A15" s="10">
        <v>40026</v>
      </c>
      <c r="B15" s="9">
        <v>40</v>
      </c>
      <c r="C15" s="9">
        <v>0</v>
      </c>
      <c r="D15" s="9"/>
    </row>
    <row r="16" spans="1:4">
      <c r="A16" s="10">
        <v>40057</v>
      </c>
      <c r="B16" s="9">
        <v>200</v>
      </c>
      <c r="C16" s="9">
        <v>2</v>
      </c>
      <c r="D16" s="9"/>
    </row>
    <row r="17" spans="1:4">
      <c r="A17" s="10">
        <v>40087</v>
      </c>
      <c r="B17" s="9">
        <v>524</v>
      </c>
      <c r="C17" s="9">
        <v>0.1</v>
      </c>
      <c r="D17" s="9"/>
    </row>
    <row r="18" spans="1:4">
      <c r="A18" s="10">
        <v>40118</v>
      </c>
      <c r="B18" s="9">
        <v>596</v>
      </c>
      <c r="C18" s="9">
        <v>0</v>
      </c>
      <c r="D18" s="9"/>
    </row>
    <row r="19" spans="1:4">
      <c r="A19" s="10">
        <v>40148</v>
      </c>
      <c r="B19" s="9">
        <v>1125</v>
      </c>
      <c r="C19" s="9">
        <v>0</v>
      </c>
      <c r="D19" s="9"/>
    </row>
    <row r="20" spans="1:4">
      <c r="A20" s="10">
        <v>40179</v>
      </c>
      <c r="B20" s="9">
        <v>1199</v>
      </c>
      <c r="C20" s="9">
        <v>0</v>
      </c>
      <c r="D20" s="9"/>
    </row>
    <row r="21" spans="1:4">
      <c r="A21" s="10">
        <v>40210</v>
      </c>
      <c r="B21" s="9">
        <v>997</v>
      </c>
      <c r="C21" s="9">
        <v>0</v>
      </c>
      <c r="D21" s="9"/>
    </row>
    <row r="22" spans="1:4">
      <c r="A22" s="10">
        <v>40238</v>
      </c>
      <c r="B22" s="9">
        <v>698</v>
      </c>
      <c r="C22" s="9">
        <v>0</v>
      </c>
      <c r="D22" s="9"/>
    </row>
    <row r="23" spans="1:4">
      <c r="A23" s="10">
        <v>40269</v>
      </c>
      <c r="B23" s="9">
        <v>404</v>
      </c>
      <c r="C23" s="9">
        <v>0</v>
      </c>
      <c r="D23" s="9"/>
    </row>
    <row r="24" spans="1:4">
      <c r="A24" s="10">
        <v>40299</v>
      </c>
      <c r="B24" s="9">
        <v>216</v>
      </c>
      <c r="C24" s="9">
        <v>0.1</v>
      </c>
      <c r="D24" s="9"/>
    </row>
    <row r="25" spans="1:4">
      <c r="A25" s="10">
        <v>40330</v>
      </c>
      <c r="B25" s="9">
        <v>63</v>
      </c>
      <c r="C25" s="9">
        <v>0</v>
      </c>
      <c r="D25" s="9"/>
    </row>
    <row r="26" spans="1:4">
      <c r="A26" s="10">
        <v>40360</v>
      </c>
      <c r="B26" s="9">
        <v>20</v>
      </c>
      <c r="C26" s="9">
        <v>0</v>
      </c>
      <c r="D26" s="9"/>
    </row>
    <row r="27" spans="1:4">
      <c r="A27" s="10">
        <v>40391</v>
      </c>
      <c r="B27" s="9">
        <v>33</v>
      </c>
      <c r="C27" s="9">
        <v>0.2</v>
      </c>
      <c r="D27" s="9"/>
    </row>
    <row r="28" spans="1:4">
      <c r="A28" s="10">
        <v>40422</v>
      </c>
      <c r="B28" s="9">
        <v>98</v>
      </c>
      <c r="C28" s="9">
        <v>0</v>
      </c>
      <c r="D28" s="9"/>
    </row>
    <row r="29" spans="1:4">
      <c r="A29" s="10">
        <v>40452</v>
      </c>
      <c r="B29" s="9">
        <v>407</v>
      </c>
      <c r="C29" s="9">
        <v>0.2</v>
      </c>
      <c r="D29" s="9"/>
    </row>
    <row r="30" spans="1:4">
      <c r="A30" s="10">
        <v>40483</v>
      </c>
      <c r="B30" s="9">
        <v>708</v>
      </c>
      <c r="C30" s="9">
        <v>0.03</v>
      </c>
      <c r="D30" s="9"/>
    </row>
    <row r="31" spans="1:4">
      <c r="A31" s="10">
        <v>40513</v>
      </c>
      <c r="B31" s="9">
        <v>1130</v>
      </c>
      <c r="C31" s="9">
        <v>0.2</v>
      </c>
      <c r="D31" s="9"/>
    </row>
    <row r="32" spans="1:4">
      <c r="A32" s="10">
        <v>40544</v>
      </c>
      <c r="B32" s="9">
        <v>1309</v>
      </c>
      <c r="C32" s="9">
        <v>0.6</v>
      </c>
      <c r="D32" s="9"/>
    </row>
    <row r="33" spans="1:4">
      <c r="A33" s="10">
        <v>40575</v>
      </c>
      <c r="B33" s="9">
        <v>1080</v>
      </c>
      <c r="C33" s="9">
        <v>0</v>
      </c>
      <c r="D33" s="9"/>
    </row>
    <row r="34" spans="1:4">
      <c r="A34" s="10">
        <v>40603</v>
      </c>
      <c r="B34" s="9">
        <v>883</v>
      </c>
      <c r="C34" s="9">
        <v>0</v>
      </c>
      <c r="D34" s="9"/>
    </row>
    <row r="35" spans="1:4">
      <c r="A35" s="10">
        <v>40634</v>
      </c>
      <c r="B35" s="9">
        <v>471</v>
      </c>
      <c r="C35" s="9">
        <v>0.03</v>
      </c>
    </row>
    <row r="36" spans="1:4">
      <c r="A36" s="10">
        <v>40664</v>
      </c>
      <c r="B36" s="9">
        <v>189</v>
      </c>
      <c r="C36" s="9">
        <v>0.03</v>
      </c>
    </row>
    <row r="37" spans="1:4">
      <c r="A37" s="10">
        <v>40695</v>
      </c>
      <c r="B37" s="9">
        <v>69</v>
      </c>
      <c r="C37" s="9">
        <v>0</v>
      </c>
    </row>
    <row r="38" spans="1:4">
      <c r="A38" s="10">
        <v>40725</v>
      </c>
      <c r="B38" s="9">
        <v>16</v>
      </c>
      <c r="C38" s="9">
        <v>0</v>
      </c>
    </row>
    <row r="39" spans="1:4">
      <c r="A39" s="10">
        <v>40756</v>
      </c>
      <c r="B39" s="9">
        <v>34</v>
      </c>
      <c r="C39" s="9">
        <v>0</v>
      </c>
    </row>
    <row r="40" spans="1:4">
      <c r="A40" s="10">
        <v>40787</v>
      </c>
      <c r="B40" s="9">
        <v>87</v>
      </c>
      <c r="C40" s="9">
        <v>0.03</v>
      </c>
    </row>
    <row r="41" spans="1:4">
      <c r="A41" s="10">
        <v>40817</v>
      </c>
      <c r="B41" s="9">
        <v>429</v>
      </c>
      <c r="C41" s="9">
        <v>7</v>
      </c>
    </row>
    <row r="42" spans="1:4">
      <c r="A42" s="10">
        <v>40848</v>
      </c>
      <c r="B42" s="9">
        <v>610</v>
      </c>
      <c r="C42" s="9">
        <v>3</v>
      </c>
    </row>
    <row r="43" spans="1:4">
      <c r="A43" s="10">
        <v>40878</v>
      </c>
      <c r="B43" s="9">
        <v>906</v>
      </c>
      <c r="C43" s="9">
        <v>0.03</v>
      </c>
    </row>
    <row r="44" spans="1:4">
      <c r="A44" s="10">
        <v>40909</v>
      </c>
      <c r="B44" s="9">
        <v>1071</v>
      </c>
      <c r="C44" s="9">
        <v>0</v>
      </c>
    </row>
    <row r="45" spans="1:4">
      <c r="A45" s="10">
        <v>40940</v>
      </c>
      <c r="B45" s="9">
        <v>890</v>
      </c>
      <c r="C45" s="9">
        <v>0.03</v>
      </c>
    </row>
    <row r="46" spans="1:4">
      <c r="A46" s="10">
        <v>40969</v>
      </c>
      <c r="B46" s="9">
        <v>626</v>
      </c>
      <c r="C46" s="9">
        <v>2</v>
      </c>
    </row>
    <row r="47" spans="1:4">
      <c r="A47" s="10">
        <v>41000</v>
      </c>
      <c r="B47" s="9">
        <v>441</v>
      </c>
      <c r="C47" s="9">
        <v>2</v>
      </c>
    </row>
    <row r="48" spans="1:4">
      <c r="A48" s="10">
        <v>41030</v>
      </c>
      <c r="B48" s="9">
        <v>160</v>
      </c>
      <c r="C48" s="9">
        <v>0.06</v>
      </c>
    </row>
    <row r="49" spans="1:3">
      <c r="A49" s="10">
        <v>41061</v>
      </c>
      <c r="B49" s="9">
        <v>87</v>
      </c>
      <c r="C49" s="9">
        <v>0.03</v>
      </c>
    </row>
    <row r="50" spans="1:3">
      <c r="A50" s="10">
        <v>41091</v>
      </c>
      <c r="B50" s="9">
        <v>15</v>
      </c>
      <c r="C50" s="9">
        <v>0.2</v>
      </c>
    </row>
    <row r="51" spans="1:3">
      <c r="A51" s="10">
        <v>41122</v>
      </c>
      <c r="B51" s="9">
        <v>36</v>
      </c>
      <c r="C51" s="9">
        <v>0.03</v>
      </c>
    </row>
    <row r="52" spans="1:3">
      <c r="A52" s="9"/>
      <c r="B52" s="9"/>
      <c r="C52" s="9"/>
    </row>
    <row r="53" spans="1:3">
      <c r="A53" s="9"/>
      <c r="B53" s="9"/>
      <c r="C53" s="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4"/>
  <sheetViews>
    <sheetView topLeftCell="A4" workbookViewId="0">
      <selection activeCell="F23" sqref="F23"/>
    </sheetView>
  </sheetViews>
  <sheetFormatPr defaultRowHeight="15"/>
  <cols>
    <col min="1" max="1" width="13.140625" bestFit="1" customWidth="1"/>
  </cols>
  <sheetData>
    <row r="1" spans="1:4">
      <c r="A1" s="9" t="s">
        <v>5</v>
      </c>
      <c r="B1" s="9" t="s">
        <v>15</v>
      </c>
      <c r="C1" s="9"/>
      <c r="D1" s="9"/>
    </row>
    <row r="2" spans="1:4">
      <c r="A2" s="9" t="s">
        <v>7</v>
      </c>
      <c r="B2" s="9" t="s">
        <v>8</v>
      </c>
      <c r="C2" s="9"/>
      <c r="D2" s="9"/>
    </row>
    <row r="3" spans="1:4">
      <c r="A3" s="9" t="s">
        <v>9</v>
      </c>
      <c r="B3" s="9" t="s">
        <v>10</v>
      </c>
      <c r="C3" s="9"/>
      <c r="D3" s="9"/>
    </row>
    <row r="4" spans="1:4">
      <c r="A4" s="9" t="s">
        <v>11</v>
      </c>
      <c r="B4" s="9" t="s">
        <v>45</v>
      </c>
      <c r="C4" s="9"/>
      <c r="D4" s="9"/>
    </row>
    <row r="5" spans="1:4">
      <c r="A5" s="9" t="s">
        <v>12</v>
      </c>
      <c r="B5" s="9" t="s">
        <v>46</v>
      </c>
      <c r="C5" s="9"/>
      <c r="D5" s="9"/>
    </row>
    <row r="6" spans="1:4">
      <c r="A6" s="9"/>
      <c r="B6" s="9"/>
      <c r="C6" s="9"/>
      <c r="D6" s="9"/>
    </row>
    <row r="7" spans="1:4">
      <c r="A7" s="9" t="s">
        <v>13</v>
      </c>
      <c r="B7" s="9" t="s">
        <v>4</v>
      </c>
      <c r="C7" s="9" t="s">
        <v>14</v>
      </c>
      <c r="D7" s="9"/>
    </row>
    <row r="8" spans="1:4" s="7" customFormat="1">
      <c r="A8" s="10">
        <v>40391</v>
      </c>
      <c r="B8" s="9">
        <v>257</v>
      </c>
      <c r="C8" s="9">
        <v>0.2</v>
      </c>
      <c r="D8" s="9"/>
    </row>
    <row r="9" spans="1:4" s="6" customFormat="1">
      <c r="A9" s="10">
        <v>40422</v>
      </c>
      <c r="B9" s="9">
        <v>146</v>
      </c>
      <c r="C9" s="9">
        <v>0</v>
      </c>
      <c r="D9" s="9"/>
    </row>
    <row r="10" spans="1:4">
      <c r="A10" s="10">
        <v>40452</v>
      </c>
      <c r="B10" s="9">
        <v>16</v>
      </c>
      <c r="C10" s="9">
        <v>0.2</v>
      </c>
      <c r="D10" s="9"/>
    </row>
    <row r="11" spans="1:4">
      <c r="A11" s="10">
        <v>40483</v>
      </c>
      <c r="B11" s="9">
        <v>0</v>
      </c>
      <c r="C11" s="9">
        <v>0.03</v>
      </c>
      <c r="D11" s="9"/>
    </row>
    <row r="12" spans="1:4">
      <c r="A12" s="10">
        <v>40513</v>
      </c>
      <c r="B12" s="9">
        <v>0</v>
      </c>
      <c r="C12" s="9">
        <v>0.2</v>
      </c>
      <c r="D12" s="9"/>
    </row>
    <row r="13" spans="1:4">
      <c r="A13" s="10">
        <v>40544</v>
      </c>
      <c r="B13" s="9">
        <v>0</v>
      </c>
      <c r="C13" s="9">
        <v>0.6</v>
      </c>
      <c r="D13" s="9"/>
    </row>
    <row r="14" spans="1:4">
      <c r="A14" s="10">
        <v>40575</v>
      </c>
      <c r="B14" s="9">
        <v>0</v>
      </c>
      <c r="C14" s="9">
        <v>0</v>
      </c>
      <c r="D14" s="9"/>
    </row>
    <row r="15" spans="1:4">
      <c r="A15" s="10">
        <v>40603</v>
      </c>
      <c r="B15" s="9">
        <v>0</v>
      </c>
      <c r="C15" s="9">
        <v>0</v>
      </c>
      <c r="D15" s="9"/>
    </row>
    <row r="16" spans="1:4">
      <c r="A16" s="10">
        <v>40634</v>
      </c>
      <c r="B16" s="9">
        <v>13</v>
      </c>
      <c r="C16" s="9">
        <v>0.03</v>
      </c>
      <c r="D16" s="9"/>
    </row>
    <row r="17" spans="1:4">
      <c r="A17" s="10">
        <v>40664</v>
      </c>
      <c r="B17" s="9">
        <v>86</v>
      </c>
      <c r="C17" s="9">
        <v>0.03</v>
      </c>
      <c r="D17" s="9"/>
    </row>
    <row r="18" spans="1:4">
      <c r="A18" s="10">
        <v>40695</v>
      </c>
      <c r="B18" s="9">
        <v>157</v>
      </c>
      <c r="C18" s="9">
        <v>0</v>
      </c>
      <c r="D18" s="9"/>
    </row>
    <row r="19" spans="1:4">
      <c r="A19" s="10">
        <v>40725</v>
      </c>
      <c r="B19" s="9">
        <v>329</v>
      </c>
      <c r="C19" s="9">
        <v>0</v>
      </c>
      <c r="D19" s="9"/>
    </row>
    <row r="20" spans="1:4">
      <c r="A20" s="10">
        <v>40756</v>
      </c>
      <c r="B20" s="9">
        <v>215</v>
      </c>
      <c r="C20" s="9">
        <v>0</v>
      </c>
      <c r="D20" s="9"/>
    </row>
    <row r="21" spans="1:4">
      <c r="A21" s="10">
        <v>40787</v>
      </c>
      <c r="B21" s="9">
        <v>115</v>
      </c>
      <c r="C21" s="9">
        <v>0.03</v>
      </c>
      <c r="D21" s="9"/>
    </row>
    <row r="22" spans="1:4">
      <c r="A22" s="10">
        <v>40817</v>
      </c>
      <c r="B22" s="9">
        <v>17</v>
      </c>
      <c r="C22" s="9">
        <v>7</v>
      </c>
      <c r="D22" s="9"/>
    </row>
    <row r="23" spans="1:4">
      <c r="A23" s="10">
        <v>40848</v>
      </c>
      <c r="B23" s="9">
        <v>1</v>
      </c>
      <c r="C23" s="9">
        <v>3</v>
      </c>
      <c r="D23" s="9"/>
    </row>
    <row r="24" spans="1:4">
      <c r="A24" s="10">
        <v>40878</v>
      </c>
      <c r="B24" s="9">
        <v>0</v>
      </c>
      <c r="C24" s="9">
        <v>0.03</v>
      </c>
      <c r="D24" s="9"/>
    </row>
    <row r="25" spans="1:4">
      <c r="A25" s="10">
        <v>40909</v>
      </c>
      <c r="B25" s="9">
        <v>0</v>
      </c>
      <c r="C25" s="9">
        <v>0</v>
      </c>
      <c r="D25" s="9"/>
    </row>
    <row r="26" spans="1:4">
      <c r="A26" s="10">
        <v>40940</v>
      </c>
      <c r="B26" s="9">
        <v>0</v>
      </c>
      <c r="C26" s="9">
        <v>0.03</v>
      </c>
      <c r="D26" s="9"/>
    </row>
    <row r="27" spans="1:4">
      <c r="A27" s="10">
        <v>40969</v>
      </c>
      <c r="B27" s="9">
        <v>22</v>
      </c>
      <c r="C27" s="9">
        <v>2</v>
      </c>
      <c r="D27" s="9"/>
    </row>
    <row r="28" spans="1:4">
      <c r="A28" s="10">
        <v>41000</v>
      </c>
      <c r="B28" s="9">
        <v>27</v>
      </c>
      <c r="C28" s="9">
        <v>2</v>
      </c>
      <c r="D28" s="9"/>
    </row>
    <row r="29" spans="1:4">
      <c r="A29" s="10">
        <v>41030</v>
      </c>
      <c r="B29" s="9">
        <v>104</v>
      </c>
      <c r="C29" s="9">
        <v>0.06</v>
      </c>
      <c r="D29" s="9"/>
    </row>
    <row r="30" spans="1:4">
      <c r="A30" s="10">
        <v>41061</v>
      </c>
      <c r="B30" s="9">
        <v>162</v>
      </c>
      <c r="C30" s="9">
        <v>0.03</v>
      </c>
      <c r="D30" s="9"/>
    </row>
    <row r="31" spans="1:4">
      <c r="A31" s="10">
        <v>41091</v>
      </c>
      <c r="B31" s="9">
        <v>333</v>
      </c>
      <c r="C31" s="9">
        <v>0.2</v>
      </c>
      <c r="D31" s="9"/>
    </row>
    <row r="32" spans="1:4">
      <c r="A32" s="10">
        <v>41122</v>
      </c>
      <c r="B32" s="9">
        <v>266</v>
      </c>
      <c r="C32" s="9">
        <v>0.03</v>
      </c>
      <c r="D32" s="9"/>
    </row>
    <row r="33" spans="1:4">
      <c r="A33" s="9"/>
      <c r="B33" s="9"/>
      <c r="C33" s="9"/>
      <c r="D33" s="9"/>
    </row>
    <row r="34" spans="1:4">
      <c r="A34" s="9"/>
      <c r="B34" s="9"/>
      <c r="C34" s="9"/>
      <c r="D34" s="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24"/>
  <sheetViews>
    <sheetView topLeftCell="A4" workbookViewId="0">
      <selection activeCell="Q31" sqref="Q31"/>
    </sheetView>
  </sheetViews>
  <sheetFormatPr defaultRowHeight="15"/>
  <cols>
    <col min="12" max="12" width="12.140625" bestFit="1" customWidth="1"/>
    <col min="14" max="14" width="9.5703125" bestFit="1" customWidth="1"/>
  </cols>
  <sheetData>
    <row r="1" spans="1:15" ht="20.25">
      <c r="A1" s="56" t="s">
        <v>65</v>
      </c>
      <c r="B1" s="57"/>
      <c r="C1" s="58"/>
      <c r="D1" s="59"/>
      <c r="E1" s="59"/>
      <c r="F1" s="59"/>
      <c r="G1" s="59"/>
      <c r="H1" s="60"/>
      <c r="I1" s="61"/>
      <c r="J1" s="62"/>
      <c r="K1" s="63"/>
      <c r="L1" s="63"/>
      <c r="M1" s="63"/>
      <c r="N1" s="63"/>
    </row>
    <row r="2" spans="1:15" ht="20.25">
      <c r="A2" s="56"/>
      <c r="B2" s="64"/>
      <c r="C2" s="58"/>
      <c r="D2" s="59"/>
      <c r="E2" s="59"/>
      <c r="F2" s="65"/>
      <c r="G2" s="65"/>
      <c r="H2" s="60"/>
      <c r="I2" s="61"/>
      <c r="J2" s="62"/>
      <c r="K2" s="63"/>
      <c r="L2" s="63"/>
      <c r="M2" s="63"/>
      <c r="N2" s="63"/>
    </row>
    <row r="3" spans="1:15" ht="20.25">
      <c r="A3" s="56"/>
      <c r="B3" s="64"/>
      <c r="C3" s="58"/>
      <c r="D3" s="59"/>
      <c r="E3" s="59"/>
      <c r="F3" s="65"/>
      <c r="G3" s="65"/>
      <c r="H3" s="60"/>
      <c r="I3" s="61"/>
      <c r="J3" s="62"/>
      <c r="K3" s="63"/>
      <c r="L3" s="63"/>
      <c r="M3" s="63"/>
      <c r="N3" s="63"/>
    </row>
    <row r="4" spans="1:15">
      <c r="A4" s="66"/>
      <c r="B4" s="67"/>
      <c r="C4" s="68" t="s">
        <v>66</v>
      </c>
      <c r="D4" s="69" t="str">
        <f>HDD!B4</f>
        <v>WESTFIELD BARNES MUNICIPAL, MA, US (72.72W,42.16N)</v>
      </c>
      <c r="E4" s="69"/>
      <c r="F4" s="59"/>
      <c r="G4" s="59"/>
      <c r="H4" s="108" t="s">
        <v>72</v>
      </c>
      <c r="I4" s="108"/>
      <c r="J4" s="108"/>
      <c r="K4" s="63"/>
      <c r="L4" s="63"/>
      <c r="M4" s="63"/>
      <c r="N4" s="63"/>
    </row>
    <row r="5" spans="1:15" ht="26.25">
      <c r="A5" s="70" t="s">
        <v>67</v>
      </c>
      <c r="B5" s="71" t="s">
        <v>68</v>
      </c>
      <c r="C5" s="72" t="s">
        <v>82</v>
      </c>
      <c r="D5" s="73" t="s">
        <v>69</v>
      </c>
      <c r="E5" s="74" t="s">
        <v>70</v>
      </c>
      <c r="F5" s="75" t="s">
        <v>71</v>
      </c>
      <c r="G5" s="75"/>
      <c r="H5" s="76" t="s">
        <v>73</v>
      </c>
      <c r="I5" s="76" t="s">
        <v>74</v>
      </c>
      <c r="J5" s="76" t="s">
        <v>75</v>
      </c>
      <c r="K5" s="77"/>
      <c r="L5" s="77"/>
      <c r="M5" s="77"/>
      <c r="N5" s="77"/>
    </row>
    <row r="6" spans="1:15">
      <c r="A6" s="66"/>
      <c r="B6" s="67"/>
      <c r="C6" s="58"/>
      <c r="D6" s="60"/>
      <c r="E6" s="61"/>
      <c r="F6" s="62"/>
      <c r="G6" s="62"/>
      <c r="H6" s="63"/>
      <c r="I6" s="63"/>
      <c r="J6" s="63"/>
      <c r="K6" s="63" t="s">
        <v>76</v>
      </c>
      <c r="L6" s="63" t="s">
        <v>78</v>
      </c>
      <c r="M6" s="63"/>
      <c r="N6" s="63"/>
    </row>
    <row r="7" spans="1:15">
      <c r="A7" s="78"/>
      <c r="B7" s="67"/>
      <c r="C7" s="58"/>
      <c r="D7" s="79"/>
      <c r="E7" s="79"/>
      <c r="F7" s="59"/>
      <c r="G7" s="59"/>
      <c r="H7" s="80"/>
      <c r="I7" s="81"/>
      <c r="J7" s="81"/>
      <c r="K7" s="81" t="s">
        <v>83</v>
      </c>
      <c r="L7" s="63" t="s">
        <v>84</v>
      </c>
      <c r="M7" s="17"/>
      <c r="N7" s="63"/>
    </row>
    <row r="8" spans="1:15">
      <c r="A8" s="83">
        <f>'Energy Use'!B20</f>
        <v>40735</v>
      </c>
      <c r="B8" s="84"/>
      <c r="C8" s="97">
        <f>'Energy Use'!S20</f>
        <v>2.8873979999999997</v>
      </c>
      <c r="D8" s="85">
        <f>CDD!B19</f>
        <v>329</v>
      </c>
      <c r="E8" s="85">
        <f>HDD!B38</f>
        <v>16</v>
      </c>
      <c r="F8" s="86"/>
      <c r="G8" s="86"/>
      <c r="H8" s="85"/>
      <c r="I8" s="87">
        <v>95</v>
      </c>
      <c r="J8" s="87">
        <v>11</v>
      </c>
      <c r="K8" s="82"/>
      <c r="L8" s="63"/>
      <c r="M8" s="17"/>
      <c r="N8" s="63"/>
    </row>
    <row r="9" spans="1:15">
      <c r="A9" s="83">
        <f>'Energy Use'!B21</f>
        <v>40766</v>
      </c>
      <c r="B9" s="67"/>
      <c r="C9" s="97">
        <f>'Energy Use'!S21</f>
        <v>2.2218629999999999</v>
      </c>
      <c r="D9" s="85">
        <f>CDD!B20</f>
        <v>215</v>
      </c>
      <c r="E9" s="85">
        <f>HDD!B39</f>
        <v>34</v>
      </c>
      <c r="F9" s="59"/>
      <c r="G9" s="88"/>
      <c r="H9" s="89"/>
      <c r="I9" s="82">
        <v>207</v>
      </c>
      <c r="J9" s="82">
        <v>8</v>
      </c>
      <c r="K9" s="98">
        <f>0.0012*(J9)+1.6734</f>
        <v>1.6830000000000001</v>
      </c>
      <c r="L9" s="96">
        <f>K9*'Energy Use'!$E$5</f>
        <v>5.6212200000000001</v>
      </c>
      <c r="M9" s="4"/>
      <c r="N9" s="63"/>
      <c r="O9" s="13"/>
    </row>
    <row r="10" spans="1:15">
      <c r="A10" s="83">
        <f>'Energy Use'!B22</f>
        <v>40797</v>
      </c>
      <c r="B10" s="67"/>
      <c r="C10" s="97">
        <f>'Energy Use'!S22</f>
        <v>1.5426759999999999</v>
      </c>
      <c r="D10" s="85">
        <f>CDD!B21</f>
        <v>115</v>
      </c>
      <c r="E10" s="85">
        <f>HDD!B40</f>
        <v>87</v>
      </c>
      <c r="F10" s="59"/>
      <c r="G10" s="88"/>
      <c r="H10" s="89"/>
      <c r="I10" s="82">
        <v>72</v>
      </c>
      <c r="J10" s="82">
        <v>77</v>
      </c>
      <c r="K10" s="98">
        <f t="shared" ref="K10:K20" si="0">0.0012*(J10)+1.6734</f>
        <v>1.7658</v>
      </c>
      <c r="L10" s="96">
        <f>K10*'Energy Use'!$E$5</f>
        <v>5.8977719999999998</v>
      </c>
      <c r="M10" s="4"/>
      <c r="N10" s="63"/>
      <c r="O10" s="13"/>
    </row>
    <row r="11" spans="1:15">
      <c r="A11" s="83">
        <f>'Energy Use'!B23</f>
        <v>40827</v>
      </c>
      <c r="B11" s="67"/>
      <c r="C11" s="97">
        <f>'Energy Use'!S23</f>
        <v>1.7030869999999998</v>
      </c>
      <c r="D11" s="85">
        <f>CDD!B22</f>
        <v>17</v>
      </c>
      <c r="E11" s="85">
        <f>HDD!B41</f>
        <v>429</v>
      </c>
      <c r="F11" s="59"/>
      <c r="G11" s="59"/>
      <c r="H11" s="79"/>
      <c r="I11" s="81">
        <v>6</v>
      </c>
      <c r="J11" s="81">
        <v>422</v>
      </c>
      <c r="K11" s="98">
        <f t="shared" si="0"/>
        <v>2.1798000000000002</v>
      </c>
      <c r="L11" s="96">
        <f>K11*'Energy Use'!$E$5</f>
        <v>7.280532</v>
      </c>
      <c r="M11" s="4"/>
      <c r="N11" s="63"/>
      <c r="O11" s="13"/>
    </row>
    <row r="12" spans="1:15">
      <c r="A12" s="83">
        <f>'Energy Use'!B24</f>
        <v>40858</v>
      </c>
      <c r="B12" s="67"/>
      <c r="C12" s="97">
        <f>'Energy Use'!S24</f>
        <v>2.3413179999999998</v>
      </c>
      <c r="D12" s="85">
        <f>CDD!B23</f>
        <v>1</v>
      </c>
      <c r="E12" s="85">
        <f>HDD!B42</f>
        <v>610</v>
      </c>
      <c r="F12" s="59"/>
      <c r="G12" s="59"/>
      <c r="H12" s="79"/>
      <c r="I12" s="81">
        <v>0</v>
      </c>
      <c r="J12" s="81">
        <v>757</v>
      </c>
      <c r="K12" s="98">
        <f t="shared" si="0"/>
        <v>2.5817999999999999</v>
      </c>
      <c r="L12" s="96">
        <f>K12*'Energy Use'!$E$5</f>
        <v>8.6232119999999988</v>
      </c>
      <c r="M12" s="4"/>
      <c r="N12" s="63"/>
      <c r="O12" s="13"/>
    </row>
    <row r="13" spans="1:15">
      <c r="A13" s="83">
        <f>'Energy Use'!B25</f>
        <v>40888</v>
      </c>
      <c r="B13" s="67"/>
      <c r="C13" s="97">
        <f>'Energy Use'!S25</f>
        <v>2.5495109999999999</v>
      </c>
      <c r="D13" s="85">
        <f>CDD!B24</f>
        <v>0</v>
      </c>
      <c r="E13" s="85">
        <f>HDD!B43</f>
        <v>906</v>
      </c>
      <c r="F13" s="59"/>
      <c r="G13" s="59"/>
      <c r="H13" s="79"/>
      <c r="I13" s="81">
        <v>0</v>
      </c>
      <c r="J13" s="81">
        <v>1005</v>
      </c>
      <c r="K13" s="98">
        <f t="shared" si="0"/>
        <v>2.8794</v>
      </c>
      <c r="L13" s="96">
        <f>K13*'Energy Use'!$E$5</f>
        <v>9.6171959999999999</v>
      </c>
      <c r="M13" s="4"/>
      <c r="N13" s="63"/>
      <c r="O13" s="13"/>
    </row>
    <row r="14" spans="1:15">
      <c r="A14" s="83">
        <f>'Energy Use'!B26</f>
        <v>40920</v>
      </c>
      <c r="B14" s="67"/>
      <c r="C14" s="97">
        <f>'Energy Use'!S26</f>
        <v>3.5324549999999997</v>
      </c>
      <c r="D14" s="85">
        <f>CDD!B25</f>
        <v>0</v>
      </c>
      <c r="E14" s="85">
        <f>HDD!B44</f>
        <v>1071</v>
      </c>
      <c r="F14" s="59"/>
      <c r="G14" s="59"/>
      <c r="H14" s="79"/>
      <c r="I14" s="81">
        <v>0</v>
      </c>
      <c r="J14" s="81">
        <v>1481</v>
      </c>
      <c r="K14" s="98">
        <f t="shared" si="0"/>
        <v>3.4505999999999997</v>
      </c>
      <c r="L14" s="96">
        <f>K14*'Energy Use'!$E$5</f>
        <v>11.525003999999999</v>
      </c>
      <c r="M14" s="4"/>
      <c r="N14" s="96">
        <f>SUM(L9:L14)</f>
        <v>48.564936000000003</v>
      </c>
      <c r="O14" s="13"/>
    </row>
    <row r="15" spans="1:15">
      <c r="A15" s="83">
        <f>'Energy Use'!B27</f>
        <v>40940</v>
      </c>
      <c r="B15" s="67"/>
      <c r="C15" s="97">
        <f>'Energy Use'!S27</f>
        <v>2.25258</v>
      </c>
      <c r="D15" s="85">
        <f>CDD!B26</f>
        <v>0</v>
      </c>
      <c r="E15" s="85">
        <f>HDD!B45</f>
        <v>890</v>
      </c>
      <c r="F15" s="59"/>
      <c r="G15" s="59"/>
      <c r="H15" s="79"/>
      <c r="I15" s="81">
        <v>0</v>
      </c>
      <c r="J15" s="81">
        <v>1121</v>
      </c>
      <c r="K15" s="98">
        <f t="shared" si="0"/>
        <v>3.0186000000000002</v>
      </c>
      <c r="L15" s="96">
        <f>K15*'Energy Use'!$E$5</f>
        <v>10.082124</v>
      </c>
      <c r="M15" s="4"/>
      <c r="N15" s="63"/>
      <c r="O15" s="13"/>
    </row>
    <row r="16" spans="1:15">
      <c r="A16" s="83">
        <f>'Energy Use'!B28</f>
        <v>40969</v>
      </c>
      <c r="B16" s="67"/>
      <c r="C16" s="97">
        <f>'Energy Use'!S28</f>
        <v>2.8771589999999998</v>
      </c>
      <c r="D16" s="85">
        <f>CDD!B27</f>
        <v>22</v>
      </c>
      <c r="E16" s="85">
        <f>HDD!B46</f>
        <v>626</v>
      </c>
      <c r="F16" s="59"/>
      <c r="G16" s="59"/>
      <c r="H16" s="79"/>
      <c r="I16" s="81">
        <v>0</v>
      </c>
      <c r="J16" s="81">
        <v>749</v>
      </c>
      <c r="K16" s="98">
        <f t="shared" si="0"/>
        <v>2.5722</v>
      </c>
      <c r="L16" s="96">
        <f>K16*'Energy Use'!$E$5</f>
        <v>8.5911480000000005</v>
      </c>
      <c r="M16" s="4"/>
      <c r="N16" s="63"/>
      <c r="O16" s="13"/>
    </row>
    <row r="17" spans="1:15">
      <c r="A17" s="83">
        <f>'Energy Use'!B29</f>
        <v>41000</v>
      </c>
      <c r="B17" s="67"/>
      <c r="C17" s="97">
        <f>'Energy Use'!S29</f>
        <v>1.757695</v>
      </c>
      <c r="D17" s="85">
        <f>CDD!B28</f>
        <v>27</v>
      </c>
      <c r="E17" s="85">
        <f>HDD!B47</f>
        <v>441</v>
      </c>
      <c r="F17" s="59"/>
      <c r="G17" s="59"/>
      <c r="H17" s="79"/>
      <c r="I17" s="81">
        <v>0</v>
      </c>
      <c r="J17" s="81">
        <v>566</v>
      </c>
      <c r="K17" s="98">
        <f t="shared" si="0"/>
        <v>2.3525999999999998</v>
      </c>
      <c r="L17" s="96">
        <f>K17*'Energy Use'!$E$5</f>
        <v>7.857683999999999</v>
      </c>
      <c r="M17" s="4"/>
      <c r="N17" s="63"/>
      <c r="O17" s="13"/>
    </row>
    <row r="18" spans="1:15">
      <c r="A18" s="83">
        <f>'Energy Use'!B30</f>
        <v>41030</v>
      </c>
      <c r="B18" s="67"/>
      <c r="C18" s="97">
        <f>'Energy Use'!S30</f>
        <v>1.6757829999999998</v>
      </c>
      <c r="D18" s="85">
        <f>CDD!B29</f>
        <v>104</v>
      </c>
      <c r="E18" s="85">
        <f>HDD!B48</f>
        <v>160</v>
      </c>
      <c r="F18" s="59"/>
      <c r="G18" s="59"/>
      <c r="H18" s="79"/>
      <c r="I18" s="81">
        <v>11</v>
      </c>
      <c r="J18" s="81">
        <v>237</v>
      </c>
      <c r="K18" s="98">
        <f t="shared" si="0"/>
        <v>1.9578</v>
      </c>
      <c r="L18" s="96">
        <f>K18*'Energy Use'!$E$5</f>
        <v>6.5390519999999999</v>
      </c>
      <c r="M18" s="4"/>
      <c r="N18" s="63"/>
      <c r="O18" s="13"/>
    </row>
    <row r="19" spans="1:15">
      <c r="A19" s="83">
        <f>'Energy Use'!B31</f>
        <v>41061</v>
      </c>
      <c r="B19" s="67"/>
      <c r="C19" s="97">
        <f>'Energy Use'!S31</f>
        <v>2.1228859999999998</v>
      </c>
      <c r="D19" s="85">
        <f>CDD!B30</f>
        <v>162</v>
      </c>
      <c r="E19" s="85">
        <f>HDD!B49</f>
        <v>87</v>
      </c>
      <c r="F19" s="59"/>
      <c r="G19" s="59"/>
      <c r="H19" s="79"/>
      <c r="I19" s="81">
        <v>109</v>
      </c>
      <c r="J19" s="81">
        <v>82</v>
      </c>
      <c r="K19" s="98">
        <f t="shared" si="0"/>
        <v>1.7718</v>
      </c>
      <c r="L19" s="96">
        <f>K19*'Energy Use'!$E$5</f>
        <v>5.9178119999999996</v>
      </c>
      <c r="M19" s="4"/>
      <c r="N19" s="63"/>
      <c r="O19" s="13"/>
    </row>
    <row r="20" spans="1:15">
      <c r="A20" s="83">
        <f>'Energy Use'!B32</f>
        <v>41101</v>
      </c>
      <c r="B20" s="84"/>
      <c r="C20" s="97">
        <f>'Energy Use'!S32</f>
        <v>1.6928479999999999</v>
      </c>
      <c r="D20" s="85">
        <f>CDD!B31</f>
        <v>333</v>
      </c>
      <c r="E20" s="85">
        <f>HDD!B50</f>
        <v>15</v>
      </c>
      <c r="F20" s="86"/>
      <c r="G20" s="86"/>
      <c r="H20" s="85"/>
      <c r="I20" s="87">
        <v>95</v>
      </c>
      <c r="J20" s="87">
        <v>11</v>
      </c>
      <c r="K20" s="99">
        <f t="shared" si="0"/>
        <v>1.6866000000000001</v>
      </c>
      <c r="L20" s="100">
        <f>K20*'Energy Use'!$E$5</f>
        <v>5.6332440000000004</v>
      </c>
      <c r="M20" s="4"/>
      <c r="N20" s="96">
        <f>SUM(L15:L20)</f>
        <v>44.621063999999997</v>
      </c>
      <c r="O20" s="13"/>
    </row>
    <row r="21" spans="1:15">
      <c r="A21" s="90"/>
      <c r="B21" s="67"/>
      <c r="C21" s="58"/>
      <c r="D21" s="79"/>
      <c r="E21" s="79"/>
      <c r="F21" s="59"/>
      <c r="G21" s="59"/>
      <c r="H21" s="79"/>
      <c r="I21" s="82"/>
      <c r="J21" s="82"/>
      <c r="K21" s="101">
        <f>SUM(K9:K20)</f>
        <v>27.899999999999995</v>
      </c>
      <c r="L21" s="96">
        <f>SUM(L9:L20)</f>
        <v>93.185999999999993</v>
      </c>
      <c r="M21" s="4"/>
      <c r="N21" s="63"/>
      <c r="O21" s="13"/>
    </row>
    <row r="22" spans="1:15">
      <c r="A22" s="90"/>
      <c r="B22" s="67"/>
      <c r="C22" s="58"/>
      <c r="D22" s="79"/>
      <c r="E22" s="79"/>
      <c r="F22" s="59"/>
      <c r="G22" s="59"/>
      <c r="H22" s="79"/>
      <c r="I22" s="81"/>
      <c r="J22" s="81"/>
      <c r="K22" s="101">
        <f>SUM(C9:C20)</f>
        <v>26.269860999999999</v>
      </c>
      <c r="L22" s="63"/>
      <c r="M22" s="4"/>
      <c r="N22" s="63"/>
    </row>
    <row r="23" spans="1:15">
      <c r="A23" s="90"/>
      <c r="B23" s="67"/>
      <c r="C23" s="58"/>
      <c r="D23" s="79"/>
      <c r="E23" s="79"/>
      <c r="F23" s="59"/>
      <c r="G23" s="59"/>
      <c r="H23" s="79"/>
      <c r="I23" s="81"/>
      <c r="J23" s="81"/>
      <c r="K23" s="91"/>
      <c r="L23" s="63"/>
      <c r="M23" s="4"/>
      <c r="N23" s="63"/>
    </row>
    <row r="24" spans="1:15">
      <c r="A24" s="90"/>
      <c r="B24" s="67"/>
      <c r="C24" s="58"/>
      <c r="D24" s="79"/>
      <c r="E24" s="79"/>
      <c r="F24" s="59"/>
      <c r="G24" s="59"/>
      <c r="H24" s="79"/>
      <c r="I24" s="81"/>
      <c r="J24" s="81"/>
      <c r="K24" s="92">
        <f>(K22-K21)/K22</f>
        <v>-6.2053583001447796E-2</v>
      </c>
      <c r="L24" s="63"/>
      <c r="M24" s="4"/>
      <c r="N24" s="63"/>
    </row>
  </sheetData>
  <mergeCells count="1">
    <mergeCell ref="H4:J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Pre-Retrofit</vt:lpstr>
      <vt:lpstr>Gas</vt:lpstr>
      <vt:lpstr>Elec</vt:lpstr>
      <vt:lpstr>Energy Use</vt:lpstr>
      <vt:lpstr>HDD</vt:lpstr>
      <vt:lpstr>CDD</vt:lpstr>
      <vt:lpstr>Weather Lin Regr Analysis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</dc:creator>
  <cp:lastModifiedBy>Cathy</cp:lastModifiedBy>
  <dcterms:created xsi:type="dcterms:W3CDTF">2011-09-05T16:23:18Z</dcterms:created>
  <dcterms:modified xsi:type="dcterms:W3CDTF">2013-03-15T15:56:45Z</dcterms:modified>
</cp:coreProperties>
</file>