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2980" windowHeight="9525" activeTab="3"/>
  </bookViews>
  <sheets>
    <sheet name="Pre-retrofit" sheetId="9" r:id="rId1"/>
    <sheet name="Gas" sheetId="1" r:id="rId2"/>
    <sheet name="Elec" sheetId="2" r:id="rId3"/>
    <sheet name="Energy Use" sheetId="8" r:id="rId4"/>
    <sheet name="HDD" sheetId="5" r:id="rId5"/>
    <sheet name="CDD" sheetId="4" r:id="rId6"/>
    <sheet name="Weather Lin Regr Analysis" sheetId="3" r:id="rId7"/>
  </sheets>
  <calcPr calcId="125725"/>
</workbook>
</file>

<file path=xl/calcChain.xml><?xml version="1.0" encoding="utf-8"?>
<calcChain xmlns="http://schemas.openxmlformats.org/spreadsheetml/2006/main">
  <c r="O28" i="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M20" i="3"/>
  <c r="M19"/>
  <c r="M18"/>
  <c r="M17"/>
  <c r="M16"/>
  <c r="M15"/>
  <c r="M14"/>
  <c r="M13"/>
  <c r="M12"/>
  <c r="M11"/>
  <c r="M10"/>
  <c r="M9"/>
  <c r="G20"/>
  <c r="G19"/>
  <c r="G18"/>
  <c r="G17"/>
  <c r="G16"/>
  <c r="G15"/>
  <c r="G14"/>
  <c r="G13"/>
  <c r="G12"/>
  <c r="G11"/>
  <c r="G10"/>
  <c r="G9"/>
  <c r="G8"/>
  <c r="F20"/>
  <c r="F19"/>
  <c r="F18"/>
  <c r="F17"/>
  <c r="F16"/>
  <c r="F15"/>
  <c r="F14"/>
  <c r="F13"/>
  <c r="F12"/>
  <c r="F11"/>
  <c r="F10"/>
  <c r="F9"/>
  <c r="F8"/>
  <c r="F4"/>
  <c r="A20"/>
  <c r="A19"/>
  <c r="A18"/>
  <c r="A17"/>
  <c r="A16"/>
  <c r="A15"/>
  <c r="A14"/>
  <c r="A13"/>
  <c r="A12"/>
  <c r="A11"/>
  <c r="A10"/>
  <c r="A9"/>
  <c r="A8"/>
  <c r="S34" i="9" l="1"/>
  <c r="Q34"/>
  <c r="P34"/>
  <c r="N34"/>
  <c r="U34" s="1"/>
  <c r="L34"/>
  <c r="T34" s="1"/>
  <c r="D34"/>
  <c r="G34" s="1"/>
  <c r="J34"/>
  <c r="C34"/>
  <c r="D25" i="2"/>
  <c r="D24"/>
  <c r="D23"/>
  <c r="D22"/>
  <c r="M25" i="8" s="1"/>
  <c r="D21" i="2"/>
  <c r="D20"/>
  <c r="D19"/>
  <c r="D18"/>
  <c r="M21" i="8" s="1"/>
  <c r="D17" i="2"/>
  <c r="D16"/>
  <c r="D15"/>
  <c r="D14"/>
  <c r="M17" i="8" s="1"/>
  <c r="D13" i="2"/>
  <c r="M16" i="8" s="1"/>
  <c r="V33" i="9"/>
  <c r="U33"/>
  <c r="T33"/>
  <c r="S33"/>
  <c r="L33"/>
  <c r="O33" s="1"/>
  <c r="J33"/>
  <c r="N33" s="1"/>
  <c r="C33"/>
  <c r="Q33"/>
  <c r="P33"/>
  <c r="E26"/>
  <c r="E25"/>
  <c r="E24"/>
  <c r="D26" i="2"/>
  <c r="D8"/>
  <c r="D9"/>
  <c r="M12" i="8" s="1"/>
  <c r="D10" i="2"/>
  <c r="D11"/>
  <c r="M14" i="8" s="1"/>
  <c r="D12" i="2"/>
  <c r="M27" i="8"/>
  <c r="M23"/>
  <c r="M19"/>
  <c r="D7" i="2"/>
  <c r="M15" i="8"/>
  <c r="M13"/>
  <c r="M11"/>
  <c r="M10"/>
  <c r="D27" i="1"/>
  <c r="D26"/>
  <c r="C29" i="8" s="1"/>
  <c r="D25" i="1"/>
  <c r="D24"/>
  <c r="D23"/>
  <c r="D22"/>
  <c r="C25" i="8" s="1"/>
  <c r="D21" i="1"/>
  <c r="D20"/>
  <c r="D19"/>
  <c r="D18"/>
  <c r="C21" i="8" s="1"/>
  <c r="D17" i="1"/>
  <c r="D16"/>
  <c r="D15"/>
  <c r="D14"/>
  <c r="C17" i="8" s="1"/>
  <c r="D13" i="1"/>
  <c r="D12"/>
  <c r="C15" i="8" s="1"/>
  <c r="D11" i="1"/>
  <c r="D10"/>
  <c r="D9"/>
  <c r="D8"/>
  <c r="C11" i="8" s="1"/>
  <c r="D7" i="1"/>
  <c r="D6"/>
  <c r="C28" i="8"/>
  <c r="C26"/>
  <c r="C24"/>
  <c r="C22"/>
  <c r="C20"/>
  <c r="C18"/>
  <c r="C16"/>
  <c r="C14"/>
  <c r="C12"/>
  <c r="C10"/>
  <c r="H20" i="9"/>
  <c r="H19"/>
  <c r="H18"/>
  <c r="H17"/>
  <c r="H16"/>
  <c r="H15"/>
  <c r="H14"/>
  <c r="H13"/>
  <c r="H12"/>
  <c r="H11"/>
  <c r="H10"/>
  <c r="H9"/>
  <c r="H8"/>
  <c r="H7"/>
  <c r="H6"/>
  <c r="H5"/>
  <c r="I16" s="1"/>
  <c r="M28" i="8"/>
  <c r="M26"/>
  <c r="M24"/>
  <c r="M22"/>
  <c r="M20"/>
  <c r="M18"/>
  <c r="L8"/>
  <c r="K8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E2"/>
  <c r="E3"/>
  <c r="E1" s="1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R22"/>
  <c r="G25" i="2"/>
  <c r="G24"/>
  <c r="G23"/>
  <c r="G22"/>
  <c r="G21"/>
  <c r="G20"/>
  <c r="G19"/>
  <c r="G18"/>
  <c r="G17"/>
  <c r="G16"/>
  <c r="G15"/>
  <c r="G14"/>
  <c r="G13"/>
  <c r="F25"/>
  <c r="F24"/>
  <c r="F23"/>
  <c r="F22"/>
  <c r="F21"/>
  <c r="F20"/>
  <c r="F19"/>
  <c r="F18"/>
  <c r="F17"/>
  <c r="F16"/>
  <c r="F15"/>
  <c r="F14"/>
  <c r="F13"/>
  <c r="F27" i="1"/>
  <c r="F26"/>
  <c r="F25"/>
  <c r="F24"/>
  <c r="F23"/>
  <c r="F22"/>
  <c r="F21"/>
  <c r="F20"/>
  <c r="F19"/>
  <c r="F18"/>
  <c r="F17"/>
  <c r="F16"/>
  <c r="F15"/>
  <c r="F14"/>
  <c r="F13"/>
  <c r="C27" i="8"/>
  <c r="D27" s="1"/>
  <c r="E19" i="3" s="1"/>
  <c r="C23" i="8"/>
  <c r="C19"/>
  <c r="D19" s="1"/>
  <c r="E11" i="3" s="1"/>
  <c r="G8" i="2"/>
  <c r="G9"/>
  <c r="G10"/>
  <c r="G11"/>
  <c r="G12"/>
  <c r="G7"/>
  <c r="F8"/>
  <c r="F9"/>
  <c r="F10"/>
  <c r="F11"/>
  <c r="F12"/>
  <c r="F7"/>
  <c r="F7" i="1"/>
  <c r="F8"/>
  <c r="F9"/>
  <c r="F10"/>
  <c r="F11"/>
  <c r="F12"/>
  <c r="F6"/>
  <c r="C13" i="8"/>
  <c r="D13" s="1"/>
  <c r="D10" l="1"/>
  <c r="G10" s="1"/>
  <c r="V10" s="1"/>
  <c r="D14"/>
  <c r="D18"/>
  <c r="E10" i="3" s="1"/>
  <c r="D22" i="8"/>
  <c r="E14" i="3" s="1"/>
  <c r="D26" i="8"/>
  <c r="E18" i="3" s="1"/>
  <c r="D11" i="8"/>
  <c r="D15"/>
  <c r="G15" s="1"/>
  <c r="V15" s="1"/>
  <c r="D17"/>
  <c r="D21"/>
  <c r="E13" i="3" s="1"/>
  <c r="D25" i="8"/>
  <c r="E17" i="3" s="1"/>
  <c r="D12" i="8"/>
  <c r="G12" s="1"/>
  <c r="V12" s="1"/>
  <c r="D16"/>
  <c r="E8" i="3" s="1"/>
  <c r="D20" i="8"/>
  <c r="E12" i="3" s="1"/>
  <c r="D24" i="8"/>
  <c r="E16" i="3" s="1"/>
  <c r="R10" i="8"/>
  <c r="M33"/>
  <c r="Q33" s="1"/>
  <c r="R33" s="1"/>
  <c r="D23"/>
  <c r="G23" s="1"/>
  <c r="C33"/>
  <c r="D33" s="1"/>
  <c r="M37"/>
  <c r="M40"/>
  <c r="M41"/>
  <c r="C37"/>
  <c r="M36"/>
  <c r="M35" s="1"/>
  <c r="C41"/>
  <c r="C36"/>
  <c r="C40"/>
  <c r="O34" i="9"/>
  <c r="V34" s="1"/>
  <c r="E34"/>
  <c r="H34" s="1"/>
  <c r="R14" i="8"/>
  <c r="D33" i="9"/>
  <c r="E33"/>
  <c r="D28" i="8"/>
  <c r="R18"/>
  <c r="R12"/>
  <c r="R26"/>
  <c r="R24"/>
  <c r="R20"/>
  <c r="R16"/>
  <c r="R11"/>
  <c r="R13"/>
  <c r="R15"/>
  <c r="R17"/>
  <c r="R19"/>
  <c r="R21"/>
  <c r="R23"/>
  <c r="R25"/>
  <c r="R27"/>
  <c r="R28"/>
  <c r="Q11"/>
  <c r="Y11" s="1"/>
  <c r="Q13"/>
  <c r="Y13" s="1"/>
  <c r="Q15"/>
  <c r="Y15" s="1"/>
  <c r="Q17"/>
  <c r="Q19"/>
  <c r="Q21"/>
  <c r="Q23"/>
  <c r="Q10"/>
  <c r="Q14"/>
  <c r="Y14" s="1"/>
  <c r="Q20"/>
  <c r="Q22"/>
  <c r="Q26"/>
  <c r="G28"/>
  <c r="G27"/>
  <c r="E27"/>
  <c r="E26"/>
  <c r="G25"/>
  <c r="E25"/>
  <c r="G24"/>
  <c r="E24"/>
  <c r="E23"/>
  <c r="G22"/>
  <c r="V22" s="1"/>
  <c r="E22"/>
  <c r="E21"/>
  <c r="E20"/>
  <c r="G19"/>
  <c r="E19"/>
  <c r="E18"/>
  <c r="G17"/>
  <c r="E17"/>
  <c r="G16"/>
  <c r="V16" s="1"/>
  <c r="E16"/>
  <c r="E15"/>
  <c r="G14"/>
  <c r="V14" s="1"/>
  <c r="E14"/>
  <c r="G13"/>
  <c r="E13"/>
  <c r="E12"/>
  <c r="G11"/>
  <c r="V11" s="1"/>
  <c r="E11"/>
  <c r="E10"/>
  <c r="R30" l="1"/>
  <c r="E9" i="3"/>
  <c r="D31" i="8"/>
  <c r="G18"/>
  <c r="V18" s="1"/>
  <c r="G20"/>
  <c r="G21"/>
  <c r="G26"/>
  <c r="Y10"/>
  <c r="E15" i="3"/>
  <c r="D30" i="8"/>
  <c r="E33"/>
  <c r="Z33" s="1"/>
  <c r="Y33"/>
  <c r="E43"/>
  <c r="Y26"/>
  <c r="D18" i="3"/>
  <c r="Y20" i="8"/>
  <c r="D12" i="3"/>
  <c r="Y23" i="8"/>
  <c r="D15" i="3"/>
  <c r="Y19" i="8"/>
  <c r="D11" i="3"/>
  <c r="Y22" i="8"/>
  <c r="D14" i="3"/>
  <c r="Y21" i="8"/>
  <c r="D13" i="3"/>
  <c r="Y17" i="8"/>
  <c r="D9" i="3"/>
  <c r="E28" i="8"/>
  <c r="E30" s="1"/>
  <c r="E20" i="3"/>
  <c r="Q35" i="8"/>
  <c r="R35" s="1"/>
  <c r="C35"/>
  <c r="D35" s="1"/>
  <c r="H33" i="9"/>
  <c r="G33"/>
  <c r="V20" i="8"/>
  <c r="V23"/>
  <c r="V26"/>
  <c r="Z11"/>
  <c r="Q18"/>
  <c r="Q30" s="1"/>
  <c r="Z18"/>
  <c r="V24"/>
  <c r="Q24"/>
  <c r="Q16"/>
  <c r="Q12"/>
  <c r="Y12" s="1"/>
  <c r="Z24"/>
  <c r="Z16"/>
  <c r="Z12"/>
  <c r="Z27"/>
  <c r="V27"/>
  <c r="Q27"/>
  <c r="V19"/>
  <c r="Q25"/>
  <c r="V13"/>
  <c r="V17"/>
  <c r="V21"/>
  <c r="V25"/>
  <c r="V28"/>
  <c r="Z25"/>
  <c r="Z21"/>
  <c r="Z13"/>
  <c r="Q28"/>
  <c r="Z28"/>
  <c r="H10"/>
  <c r="W10" s="1"/>
  <c r="Z10"/>
  <c r="H11"/>
  <c r="W11" s="1"/>
  <c r="H12"/>
  <c r="W12" s="1"/>
  <c r="H13"/>
  <c r="W13" s="1"/>
  <c r="H14"/>
  <c r="W14" s="1"/>
  <c r="Z14"/>
  <c r="H15"/>
  <c r="W15" s="1"/>
  <c r="Z15"/>
  <c r="H16"/>
  <c r="W16" s="1"/>
  <c r="H17"/>
  <c r="W17" s="1"/>
  <c r="H18"/>
  <c r="W18" s="1"/>
  <c r="H19"/>
  <c r="W19" s="1"/>
  <c r="Z19"/>
  <c r="H20"/>
  <c r="W20" s="1"/>
  <c r="Z20"/>
  <c r="H21"/>
  <c r="W21" s="1"/>
  <c r="H22"/>
  <c r="W22" s="1"/>
  <c r="Z22"/>
  <c r="H23"/>
  <c r="W23" s="1"/>
  <c r="Z23"/>
  <c r="H24"/>
  <c r="W24" s="1"/>
  <c r="H25"/>
  <c r="W25" s="1"/>
  <c r="H26"/>
  <c r="W26" s="1"/>
  <c r="Z26"/>
  <c r="H27"/>
  <c r="W27" s="1"/>
  <c r="H28"/>
  <c r="W28" s="1"/>
  <c r="E31" l="1"/>
  <c r="Q29"/>
  <c r="R29"/>
  <c r="Z17"/>
  <c r="Z40" s="1"/>
  <c r="R43"/>
  <c r="Y28"/>
  <c r="D20" i="3"/>
  <c r="Y27" i="8"/>
  <c r="D19" i="3"/>
  <c r="Y16" i="8"/>
  <c r="D8" i="3"/>
  <c r="Y18" i="8"/>
  <c r="Y40" s="1"/>
  <c r="D10" i="3"/>
  <c r="Y25" i="8"/>
  <c r="D17" i="3"/>
  <c r="Y24" i="8"/>
  <c r="Y42" s="1"/>
  <c r="D16" i="3"/>
  <c r="Y35" i="8"/>
  <c r="E35"/>
  <c r="N22" i="3"/>
  <c r="O9"/>
  <c r="N9"/>
  <c r="O13"/>
  <c r="N13"/>
  <c r="O14"/>
  <c r="N14"/>
  <c r="O11"/>
  <c r="N11"/>
  <c r="O15"/>
  <c r="N15"/>
  <c r="O12"/>
  <c r="N12"/>
  <c r="O18"/>
  <c r="N18"/>
  <c r="W42" i="8"/>
  <c r="W40"/>
  <c r="V42"/>
  <c r="Z42"/>
  <c r="V40"/>
  <c r="O16" i="3" l="1"/>
  <c r="N16"/>
  <c r="O17"/>
  <c r="N17"/>
  <c r="O10"/>
  <c r="N10"/>
  <c r="O19"/>
  <c r="N19"/>
  <c r="O20"/>
  <c r="N20"/>
  <c r="Z35" i="8"/>
  <c r="O21" i="3" l="1"/>
  <c r="N21"/>
  <c r="N24" s="1"/>
</calcChain>
</file>

<file path=xl/comments1.xml><?xml version="1.0" encoding="utf-8"?>
<comments xmlns="http://schemas.openxmlformats.org/spreadsheetml/2006/main">
  <authors>
    <author>Rosi</author>
  </authors>
  <commentList>
    <comment ref="M7" authorId="0">
      <text>
        <r>
          <rPr>
            <b/>
            <sz val="9"/>
            <color indexed="81"/>
            <rFont val="Tahoma"/>
            <family val="2"/>
          </rPr>
          <t>Rosi:</t>
        </r>
        <r>
          <rPr>
            <sz val="9"/>
            <color indexed="81"/>
            <rFont val="Tahoma"/>
            <family val="2"/>
          </rPr>
          <t xml:space="preserve">
Use "actual" best fit equation but put in TMY3 CDD for the value of X to get new energy use by month
</t>
        </r>
      </text>
    </comment>
  </commentList>
</comments>
</file>

<file path=xl/sharedStrings.xml><?xml version="1.0" encoding="utf-8"?>
<sst xmlns="http://schemas.openxmlformats.org/spreadsheetml/2006/main" count="145" uniqueCount="93">
  <si>
    <t>therms</t>
  </si>
  <si>
    <t>HDD</t>
  </si>
  <si>
    <t>Electricity used</t>
  </si>
  <si>
    <t>(negative)</t>
  </si>
  <si>
    <t>Electric Consumption (kWh)</t>
  </si>
  <si>
    <t>PV Production (kWh)</t>
  </si>
  <si>
    <t>CDD</t>
  </si>
  <si>
    <t>Description:</t>
  </si>
  <si>
    <t>Fahrenheit-based heating degree days for a base temperature of 65F</t>
  </si>
  <si>
    <t>Source:</t>
  </si>
  <si>
    <t>www.degreedays.net (using temperature data from www.wunderground.com)</t>
  </si>
  <si>
    <t>Accuracy:</t>
  </si>
  <si>
    <t>Estimates were made to account for missing data: the "% Estimated" column shows how much each figure was affected (0% is best, 100% is worst)</t>
  </si>
  <si>
    <t>Station:</t>
  </si>
  <si>
    <t>BEDFORD HANSCOM FIELD, MA, US (71.29W,42.47N)</t>
  </si>
  <si>
    <t>Station ID:</t>
  </si>
  <si>
    <t>KBED</t>
  </si>
  <si>
    <t>Month starting</t>
  </si>
  <si>
    <t>% Estimated</t>
  </si>
  <si>
    <t>Fahrenheit-based cooling degree days for a base temperature of 65F</t>
  </si>
  <si>
    <t>site kwh</t>
  </si>
  <si>
    <t>site Mbtu</t>
  </si>
  <si>
    <t>source Mbtu</t>
  </si>
  <si>
    <t>source kwh</t>
  </si>
  <si>
    <t>kwh to Mbtu</t>
  </si>
  <si>
    <t>therm to MBTU</t>
  </si>
  <si>
    <t>natural gas source/site</t>
  </si>
  <si>
    <t>grid electricity source/site</t>
  </si>
  <si>
    <t>Mbtu to kwh</t>
  </si>
  <si>
    <t>site KWH</t>
  </si>
  <si>
    <t>source KWH</t>
  </si>
  <si>
    <t>Total kwh</t>
  </si>
  <si>
    <t>site</t>
  </si>
  <si>
    <t>source</t>
  </si>
  <si>
    <t>Total Mbtu</t>
  </si>
  <si>
    <t>Bedford</t>
  </si>
  <si>
    <t>Arlington Two Family</t>
  </si>
  <si>
    <t>Venable Hwang</t>
  </si>
  <si>
    <t>Apt 1</t>
  </si>
  <si>
    <t>Apt 2</t>
  </si>
  <si>
    <t>Retrofit Completed</t>
  </si>
  <si>
    <t>There are two apartments at the Arlington home</t>
  </si>
  <si>
    <t>AC installed in Unit 2</t>
  </si>
  <si>
    <t>Month Starting</t>
  </si>
  <si>
    <t>Pre-retrofit Gas Usage from National Grid</t>
  </si>
  <si>
    <t>Unit 1</t>
  </si>
  <si>
    <t>Unit 2</t>
  </si>
  <si>
    <t>Construction begins</t>
  </si>
  <si>
    <t>total</t>
  </si>
  <si>
    <t>Electricity data from application is not 1 year's worth and its unclear if it is both units</t>
  </si>
  <si>
    <t>House was purchased in Sept 2009 and construction started in Jul 2010 so there is not 1 year available</t>
  </si>
  <si>
    <t xml:space="preserve">It is also unclear whether the house was occupied during that time.  </t>
  </si>
  <si>
    <t>Therefore using BEopt 1.3 for pre-retrofit usage.</t>
  </si>
  <si>
    <t>therms for year</t>
  </si>
  <si>
    <t>BEopt 1.3 model in 04 - Energy Analysis_new DER/E - BEopt modeling/1-3 Venable Hwang Opt and AsBuilt.bpj</t>
  </si>
  <si>
    <t>Total electricity in kwh</t>
  </si>
  <si>
    <t>Total natural gas in therms</t>
  </si>
  <si>
    <t>Total oil in gallons</t>
  </si>
  <si>
    <t>#1  therms</t>
  </si>
  <si>
    <t>#2 therms</t>
  </si>
  <si>
    <t>Total therms</t>
  </si>
  <si>
    <t>Original bldg</t>
  </si>
  <si>
    <t>Hypothetical retrofit of larger bldg</t>
  </si>
  <si>
    <t xml:space="preserve">Period </t>
  </si>
  <si>
    <t>12 month totals</t>
  </si>
  <si>
    <t>6 month totals</t>
  </si>
  <si>
    <t>Post Retrofit</t>
  </si>
  <si>
    <t>BEOpt orig</t>
  </si>
  <si>
    <t>BEOpt retrof</t>
  </si>
  <si>
    <t xml:space="preserve">Veneable Hwang - Nstar </t>
  </si>
  <si>
    <t>MIN USAGE (with 12 mos data average 2 lowest)</t>
  </si>
  <si>
    <t>Linear Regression on Post Retrofit data</t>
  </si>
  <si>
    <t xml:space="preserve">Month </t>
  </si>
  <si>
    <t>Date</t>
  </si>
  <si>
    <t>Actual CDD</t>
  </si>
  <si>
    <t>Actual HDD</t>
  </si>
  <si>
    <t>Comments</t>
  </si>
  <si>
    <t>Predicted (BEopt 1.3) BOSTON</t>
  </si>
  <si>
    <t>BEopt 1.3 CDD</t>
  </si>
  <si>
    <t>BEopt 1.3 HDD</t>
  </si>
  <si>
    <t>Actual site energy</t>
  </si>
  <si>
    <t>Electricity</t>
  </si>
  <si>
    <t>Natural Gas</t>
  </si>
  <si>
    <t>MMBtu</t>
  </si>
  <si>
    <t>Normalized Gas MMBtu</t>
  </si>
  <si>
    <t>Normalized Site</t>
  </si>
  <si>
    <t>Normalized Src</t>
  </si>
  <si>
    <t>MIN USAGE 6 mos</t>
  </si>
  <si>
    <t>12 mo MMBtu</t>
  </si>
  <si>
    <t>6 mo</t>
  </si>
  <si>
    <t>6 mos</t>
  </si>
  <si>
    <t>12 mo</t>
  </si>
  <si>
    <t>12 mos</t>
  </si>
</sst>
</file>

<file path=xl/styles.xml><?xml version="1.0" encoding="utf-8"?>
<styleSheet xmlns="http://schemas.openxmlformats.org/spreadsheetml/2006/main">
  <numFmts count="4">
    <numFmt numFmtId="164" formatCode="&quot;$&quot;#,##0.00"/>
    <numFmt numFmtId="165" formatCode="&quot;$&quot;#,##0.0000"/>
    <numFmt numFmtId="166" formatCode="&quot;$&quot;#,##0.00000"/>
    <numFmt numFmtId="167" formatCode="[$-409]mmm\-yy;@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color indexed="8"/>
      <name val="Verdana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17" fontId="0" fillId="0" borderId="0" xfId="0" applyNumberFormat="1"/>
    <xf numFmtId="0" fontId="18" fillId="0" borderId="10" xfId="42" applyNumberFormat="1" applyFont="1" applyFill="1" applyBorder="1" applyAlignment="1">
      <alignment wrapText="1"/>
    </xf>
    <xf numFmtId="0" fontId="0" fillId="0" borderId="0" xfId="0" applyFill="1"/>
    <xf numFmtId="0" fontId="18" fillId="33" borderId="10" xfId="42" applyNumberFormat="1" applyFont="1" applyFill="1" applyBorder="1" applyAlignment="1">
      <alignment wrapText="1"/>
    </xf>
    <xf numFmtId="0" fontId="18" fillId="33" borderId="10" xfId="42" applyNumberFormat="1" applyFont="1" applyFill="1" applyBorder="1" applyAlignment="1">
      <alignment wrapText="1"/>
    </xf>
    <xf numFmtId="0" fontId="18" fillId="0" borderId="10" xfId="42" applyNumberFormat="1" applyFont="1" applyFill="1" applyBorder="1" applyAlignment="1">
      <alignment wrapText="1"/>
    </xf>
    <xf numFmtId="0" fontId="18" fillId="33" borderId="10" xfId="42" applyNumberFormat="1" applyFont="1" applyFill="1" applyBorder="1" applyAlignment="1">
      <alignment wrapText="1"/>
    </xf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9" fillId="0" borderId="0" xfId="43" applyAlignment="1" applyProtection="1"/>
    <xf numFmtId="0" fontId="0" fillId="0" borderId="10" xfId="0" applyBorder="1"/>
    <xf numFmtId="0" fontId="18" fillId="34" borderId="10" xfId="42" applyNumberFormat="1" applyFont="1" applyFill="1" applyBorder="1" applyAlignment="1">
      <alignment wrapText="1"/>
    </xf>
    <xf numFmtId="0" fontId="0" fillId="34" borderId="10" xfId="0" applyFill="1" applyBorder="1"/>
    <xf numFmtId="0" fontId="18" fillId="34" borderId="11" xfId="42" applyNumberFormat="1" applyFont="1" applyFill="1" applyBorder="1" applyAlignment="1">
      <alignment wrapText="1"/>
    </xf>
    <xf numFmtId="4" fontId="0" fillId="0" borderId="0" xfId="0" applyNumberFormat="1"/>
    <xf numFmtId="2" fontId="18" fillId="0" borderId="10" xfId="42" applyNumberFormat="1" applyFont="1" applyFill="1" applyBorder="1" applyAlignment="1">
      <alignment wrapText="1"/>
    </xf>
    <xf numFmtId="2" fontId="0" fillId="0" borderId="0" xfId="0" applyNumberFormat="1"/>
    <xf numFmtId="0" fontId="18" fillId="0" borderId="0" xfId="42" applyNumberFormat="1" applyFont="1" applyFill="1" applyBorder="1" applyAlignment="1">
      <alignment wrapText="1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17" fontId="0" fillId="0" borderId="15" xfId="0" applyNumberFormat="1" applyBorder="1"/>
    <xf numFmtId="17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17" xfId="0" applyBorder="1"/>
    <xf numFmtId="0" fontId="0" fillId="0" borderId="10" xfId="0" applyFill="1" applyBorder="1"/>
    <xf numFmtId="2" fontId="0" fillId="0" borderId="0" xfId="0" applyNumberFormat="1" applyBorder="1"/>
    <xf numFmtId="2" fontId="0" fillId="0" borderId="18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9" xfId="0" applyNumberFormat="1" applyBorder="1"/>
    <xf numFmtId="2" fontId="18" fillId="0" borderId="0" xfId="42" applyNumberFormat="1" applyFont="1" applyFill="1" applyBorder="1" applyAlignment="1">
      <alignment wrapText="1"/>
    </xf>
    <xf numFmtId="14" fontId="20" fillId="0" borderId="20" xfId="0" applyNumberFormat="1" applyFont="1" applyBorder="1" applyAlignment="1">
      <alignment horizontal="left" wrapText="1"/>
    </xf>
    <xf numFmtId="0" fontId="20" fillId="0" borderId="20" xfId="0" applyFont="1" applyBorder="1" applyAlignment="1">
      <alignment horizontal="left" wrapText="1"/>
    </xf>
    <xf numFmtId="0" fontId="0" fillId="0" borderId="21" xfId="0" applyBorder="1"/>
    <xf numFmtId="17" fontId="0" fillId="0" borderId="22" xfId="0" applyNumberFormat="1" applyBorder="1"/>
    <xf numFmtId="0" fontId="0" fillId="0" borderId="22" xfId="0" applyFill="1" applyBorder="1"/>
    <xf numFmtId="2" fontId="18" fillId="0" borderId="22" xfId="42" applyNumberFormat="1" applyFont="1" applyFill="1" applyBorder="1" applyAlignment="1">
      <alignment wrapText="1"/>
    </xf>
    <xf numFmtId="2" fontId="0" fillId="0" borderId="22" xfId="0" applyNumberFormat="1" applyBorder="1"/>
    <xf numFmtId="0" fontId="0" fillId="0" borderId="22" xfId="0" applyBorder="1"/>
    <xf numFmtId="2" fontId="0" fillId="0" borderId="23" xfId="0" applyNumberFormat="1" applyBorder="1"/>
    <xf numFmtId="0" fontId="21" fillId="0" borderId="0" xfId="42" applyFont="1" applyAlignment="1"/>
    <xf numFmtId="14" fontId="22" fillId="0" borderId="0" xfId="42" applyNumberFormat="1" applyFont="1" applyAlignment="1"/>
    <xf numFmtId="1" fontId="18" fillId="0" borderId="0" xfId="42" applyNumberFormat="1" applyAlignment="1"/>
    <xf numFmtId="164" fontId="18" fillId="0" borderId="0" xfId="42" applyNumberFormat="1" applyAlignment="1"/>
    <xf numFmtId="3" fontId="18" fillId="0" borderId="0" xfId="42" applyNumberFormat="1" applyAlignment="1"/>
    <xf numFmtId="0" fontId="18" fillId="0" borderId="0" xfId="42" applyAlignment="1">
      <alignment horizontal="left" indent="1"/>
    </xf>
    <xf numFmtId="165" fontId="18" fillId="0" borderId="0" xfId="42" applyNumberFormat="1" applyFill="1" applyAlignment="1">
      <alignment horizontal="right"/>
    </xf>
    <xf numFmtId="166" fontId="18" fillId="0" borderId="0" xfId="42" applyNumberFormat="1" applyFill="1" applyAlignment="1">
      <alignment horizontal="right"/>
    </xf>
    <xf numFmtId="14" fontId="23" fillId="0" borderId="0" xfId="42" applyNumberFormat="1" applyFont="1" applyAlignment="1"/>
    <xf numFmtId="0" fontId="24" fillId="0" borderId="0" xfId="43" applyFont="1" applyAlignment="1" applyProtection="1"/>
    <xf numFmtId="0" fontId="18" fillId="0" borderId="0" xfId="42" applyAlignment="1"/>
    <xf numFmtId="14" fontId="18" fillId="0" borderId="0" xfId="42" applyNumberFormat="1" applyAlignment="1"/>
    <xf numFmtId="1" fontId="18" fillId="0" borderId="0" xfId="42" applyNumberFormat="1" applyFont="1" applyAlignment="1">
      <alignment horizontal="center"/>
    </xf>
    <xf numFmtId="164" fontId="18" fillId="0" borderId="0" xfId="42" applyNumberFormat="1" applyFont="1" applyAlignment="1"/>
    <xf numFmtId="0" fontId="23" fillId="0" borderId="18" xfId="42" applyFont="1" applyBorder="1" applyAlignment="1">
      <alignment wrapText="1"/>
    </xf>
    <xf numFmtId="14" fontId="23" fillId="0" borderId="18" xfId="42" applyNumberFormat="1" applyFont="1" applyBorder="1" applyAlignment="1">
      <alignment horizontal="left" wrapText="1"/>
    </xf>
    <xf numFmtId="1" fontId="23" fillId="0" borderId="18" xfId="42" applyNumberFormat="1" applyFont="1" applyBorder="1" applyAlignment="1">
      <alignment horizontal="left" wrapText="1"/>
    </xf>
    <xf numFmtId="3" fontId="23" fillId="0" borderId="18" xfId="42" applyNumberFormat="1" applyFont="1" applyBorder="1" applyAlignment="1">
      <alignment horizontal="left" wrapText="1"/>
    </xf>
    <xf numFmtId="0" fontId="23" fillId="0" borderId="18" xfId="42" applyFont="1" applyBorder="1" applyAlignment="1">
      <alignment horizontal="left" wrapText="1"/>
    </xf>
    <xf numFmtId="165" fontId="23" fillId="0" borderId="18" xfId="42" applyNumberFormat="1" applyFont="1" applyFill="1" applyBorder="1" applyAlignment="1">
      <alignment horizontal="left" wrapText="1"/>
    </xf>
    <xf numFmtId="166" fontId="23" fillId="0" borderId="18" xfId="42" applyNumberFormat="1" applyFont="1" applyFill="1" applyBorder="1" applyAlignment="1">
      <alignment horizontal="center" wrapText="1"/>
    </xf>
    <xf numFmtId="166" fontId="23" fillId="0" borderId="18" xfId="42" applyNumberFormat="1" applyFont="1" applyFill="1" applyBorder="1" applyAlignment="1">
      <alignment horizontal="right" wrapText="1"/>
    </xf>
    <xf numFmtId="17" fontId="18" fillId="0" borderId="0" xfId="42" applyNumberFormat="1" applyAlignment="1"/>
    <xf numFmtId="0" fontId="18" fillId="0" borderId="0" xfId="42" applyNumberFormat="1" applyAlignment="1"/>
    <xf numFmtId="0" fontId="18" fillId="0" borderId="0" xfId="42" applyNumberFormat="1" applyFill="1" applyAlignment="1"/>
    <xf numFmtId="0" fontId="25" fillId="0" borderId="0" xfId="0" applyFont="1"/>
    <xf numFmtId="0" fontId="25" fillId="0" borderId="0" xfId="0" applyFont="1" applyBorder="1"/>
    <xf numFmtId="17" fontId="18" fillId="0" borderId="18" xfId="42" applyNumberFormat="1" applyBorder="1" applyAlignment="1"/>
    <xf numFmtId="14" fontId="18" fillId="0" borderId="18" xfId="42" applyNumberFormat="1" applyBorder="1" applyAlignment="1"/>
    <xf numFmtId="1" fontId="18" fillId="0" borderId="18" xfId="42" applyNumberFormat="1" applyBorder="1" applyAlignment="1"/>
    <xf numFmtId="0" fontId="18" fillId="0" borderId="18" xfId="42" applyNumberFormat="1" applyBorder="1" applyAlignment="1"/>
    <xf numFmtId="164" fontId="18" fillId="0" borderId="18" xfId="42" applyNumberFormat="1" applyBorder="1" applyAlignment="1"/>
    <xf numFmtId="0" fontId="25" fillId="0" borderId="18" xfId="0" applyFont="1" applyBorder="1"/>
    <xf numFmtId="14" fontId="18" fillId="0" borderId="0" xfId="42" applyNumberFormat="1" applyBorder="1" applyAlignment="1"/>
    <xf numFmtId="164" fontId="18" fillId="0" borderId="0" xfId="42" applyNumberFormat="1" applyBorder="1" applyAlignment="1"/>
    <xf numFmtId="0" fontId="18" fillId="0" borderId="0" xfId="42" applyNumberFormat="1" applyBorder="1" applyAlignment="1"/>
    <xf numFmtId="167" fontId="18" fillId="0" borderId="0" xfId="42" applyNumberFormat="1" applyAlignment="1"/>
    <xf numFmtId="1" fontId="26" fillId="0" borderId="0" xfId="0" applyNumberFormat="1" applyFont="1"/>
    <xf numFmtId="167" fontId="25" fillId="0" borderId="0" xfId="0" applyNumberFormat="1" applyFont="1"/>
    <xf numFmtId="10" fontId="0" fillId="0" borderId="0" xfId="0" applyNumberFormat="1"/>
    <xf numFmtId="14" fontId="18" fillId="0" borderId="0" xfId="42" applyNumberFormat="1" applyFill="1" applyBorder="1" applyAlignment="1"/>
    <xf numFmtId="1" fontId="0" fillId="0" borderId="0" xfId="0" applyNumberFormat="1" applyFill="1" applyBorder="1"/>
    <xf numFmtId="2" fontId="18" fillId="0" borderId="18" xfId="42" applyNumberFormat="1" applyBorder="1" applyAlignment="1"/>
    <xf numFmtId="2" fontId="26" fillId="35" borderId="0" xfId="0" applyNumberFormat="1" applyFont="1" applyFill="1" applyBorder="1"/>
    <xf numFmtId="4" fontId="18" fillId="0" borderId="0" xfId="42" applyNumberFormat="1" applyFill="1" applyAlignment="1">
      <alignment horizontal="right"/>
    </xf>
    <xf numFmtId="2" fontId="26" fillId="35" borderId="18" xfId="0" applyNumberFormat="1" applyFont="1" applyFill="1" applyBorder="1"/>
    <xf numFmtId="4" fontId="18" fillId="0" borderId="18" xfId="42" applyNumberFormat="1" applyFill="1" applyBorder="1" applyAlignment="1">
      <alignment horizontal="right"/>
    </xf>
    <xf numFmtId="2" fontId="18" fillId="0" borderId="0" xfId="42" applyNumberFormat="1" applyBorder="1" applyAlignment="1"/>
    <xf numFmtId="2" fontId="18" fillId="0" borderId="0" xfId="42" applyNumberFormat="1" applyFill="1" applyBorder="1" applyAlignment="1"/>
    <xf numFmtId="0" fontId="0" fillId="0" borderId="0" xfId="0" applyAlignment="1">
      <alignment horizontal="center"/>
    </xf>
    <xf numFmtId="3" fontId="18" fillId="0" borderId="0" xfId="42" applyNumberFormat="1" applyFont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Arlington</a:t>
            </a:r>
            <a:r>
              <a:rPr lang="en-US" baseline="0"/>
              <a:t>Two Family Natural Gas Use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6032501086105655"/>
          <c:y val="0.13928441236512273"/>
          <c:w val="0.7019946305338981"/>
          <c:h val="0.59817062797705756"/>
        </c:manualLayout>
      </c:layout>
      <c:barChart>
        <c:barDir val="col"/>
        <c:grouping val="clustered"/>
        <c:ser>
          <c:idx val="0"/>
          <c:order val="0"/>
          <c:tx>
            <c:strRef>
              <c:f>Gas!$D$5</c:f>
              <c:strCache>
                <c:ptCount val="1"/>
                <c:pt idx="0">
                  <c:v>Total therms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Gas!$A$6:$A$25</c:f>
              <c:numCache>
                <c:formatCode>mmm-yy</c:formatCode>
                <c:ptCount val="20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40735</c:v>
                </c:pt>
                <c:pt idx="8">
                  <c:v>40766</c:v>
                </c:pt>
                <c:pt idx="9">
                  <c:v>40797</c:v>
                </c:pt>
                <c:pt idx="10">
                  <c:v>40827</c:v>
                </c:pt>
                <c:pt idx="11">
                  <c:v>40858</c:v>
                </c:pt>
                <c:pt idx="12">
                  <c:v>40888</c:v>
                </c:pt>
                <c:pt idx="13">
                  <c:v>40920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</c:numCache>
            </c:numRef>
          </c:cat>
          <c:val>
            <c:numRef>
              <c:f>Gas!$D$6:$D$25</c:f>
              <c:numCache>
                <c:formatCode>General</c:formatCode>
                <c:ptCount val="20"/>
                <c:pt idx="0">
                  <c:v>77</c:v>
                </c:pt>
                <c:pt idx="1">
                  <c:v>144</c:v>
                </c:pt>
                <c:pt idx="2">
                  <c:v>87</c:v>
                </c:pt>
                <c:pt idx="3">
                  <c:v>76</c:v>
                </c:pt>
                <c:pt idx="4">
                  <c:v>44</c:v>
                </c:pt>
                <c:pt idx="5">
                  <c:v>31</c:v>
                </c:pt>
                <c:pt idx="6">
                  <c:v>22</c:v>
                </c:pt>
                <c:pt idx="7">
                  <c:v>14</c:v>
                </c:pt>
                <c:pt idx="8">
                  <c:v>16</c:v>
                </c:pt>
                <c:pt idx="9">
                  <c:v>14</c:v>
                </c:pt>
                <c:pt idx="10">
                  <c:v>24</c:v>
                </c:pt>
                <c:pt idx="11">
                  <c:v>58</c:v>
                </c:pt>
                <c:pt idx="12">
                  <c:v>68</c:v>
                </c:pt>
                <c:pt idx="13">
                  <c:v>96</c:v>
                </c:pt>
                <c:pt idx="14">
                  <c:v>93</c:v>
                </c:pt>
                <c:pt idx="15">
                  <c:v>57</c:v>
                </c:pt>
                <c:pt idx="16">
                  <c:v>41</c:v>
                </c:pt>
                <c:pt idx="17">
                  <c:v>28</c:v>
                </c:pt>
                <c:pt idx="18">
                  <c:v>15</c:v>
                </c:pt>
                <c:pt idx="19">
                  <c:v>13</c:v>
                </c:pt>
              </c:numCache>
            </c:numRef>
          </c:val>
        </c:ser>
        <c:axId val="122419840"/>
        <c:axId val="122429824"/>
      </c:barChart>
      <c:lineChart>
        <c:grouping val="standard"/>
        <c:ser>
          <c:idx val="1"/>
          <c:order val="1"/>
          <c:tx>
            <c:strRef>
              <c:f>Gas!$F$5</c:f>
              <c:strCache>
                <c:ptCount val="1"/>
                <c:pt idx="0">
                  <c:v>HDD</c:v>
                </c:pt>
              </c:strCache>
            </c:strRef>
          </c:tx>
          <c:cat>
            <c:numRef>
              <c:f>Gas!$A$6:$A$12</c:f>
              <c:numCache>
                <c:formatCode>mmm-yy</c:formatCode>
                <c:ptCount val="7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</c:numCache>
            </c:numRef>
          </c:cat>
          <c:val>
            <c:numRef>
              <c:f>Gas!$F$6:$F$25</c:f>
              <c:numCache>
                <c:formatCode>General</c:formatCode>
                <c:ptCount val="20"/>
                <c:pt idx="0">
                  <c:v>1110</c:v>
                </c:pt>
                <c:pt idx="1">
                  <c:v>1298</c:v>
                </c:pt>
                <c:pt idx="2">
                  <c:v>1070</c:v>
                </c:pt>
                <c:pt idx="3">
                  <c:v>885</c:v>
                </c:pt>
                <c:pt idx="4">
                  <c:v>502</c:v>
                </c:pt>
                <c:pt idx="5">
                  <c:v>268</c:v>
                </c:pt>
                <c:pt idx="6">
                  <c:v>113</c:v>
                </c:pt>
                <c:pt idx="7">
                  <c:v>20</c:v>
                </c:pt>
                <c:pt idx="8">
                  <c:v>31</c:v>
                </c:pt>
                <c:pt idx="9">
                  <c:v>108</c:v>
                </c:pt>
                <c:pt idx="10">
                  <c:v>418</c:v>
                </c:pt>
                <c:pt idx="11">
                  <c:v>563</c:v>
                </c:pt>
                <c:pt idx="12">
                  <c:v>882</c:v>
                </c:pt>
                <c:pt idx="13">
                  <c:v>1053</c:v>
                </c:pt>
                <c:pt idx="14">
                  <c:v>895</c:v>
                </c:pt>
                <c:pt idx="15">
                  <c:v>652</c:v>
                </c:pt>
                <c:pt idx="16">
                  <c:v>463</c:v>
                </c:pt>
                <c:pt idx="17">
                  <c:v>208</c:v>
                </c:pt>
                <c:pt idx="18">
                  <c:v>121</c:v>
                </c:pt>
                <c:pt idx="19">
                  <c:v>22</c:v>
                </c:pt>
              </c:numCache>
            </c:numRef>
          </c:val>
        </c:ser>
        <c:marker val="1"/>
        <c:axId val="122438016"/>
        <c:axId val="122431744"/>
      </c:lineChart>
      <c:dateAx>
        <c:axId val="122419840"/>
        <c:scaling>
          <c:orientation val="minMax"/>
        </c:scaling>
        <c:axPos val="b"/>
        <c:numFmt formatCode="mmm-yy" sourceLinked="1"/>
        <c:tickLblPos val="nextTo"/>
        <c:txPr>
          <a:bodyPr rot="-2340000"/>
          <a:lstStyle/>
          <a:p>
            <a:pPr>
              <a:defRPr/>
            </a:pPr>
            <a:endParaRPr lang="en-US"/>
          </a:p>
        </c:txPr>
        <c:crossAx val="122429824"/>
        <c:crosses val="autoZero"/>
        <c:auto val="1"/>
        <c:lblOffset val="100"/>
        <c:baseTimeUnit val="months"/>
      </c:dateAx>
      <c:valAx>
        <c:axId val="1224298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Therms/month</a:t>
                </a:r>
              </a:p>
            </c:rich>
          </c:tx>
        </c:title>
        <c:numFmt formatCode="General" sourceLinked="1"/>
        <c:tickLblPos val="nextTo"/>
        <c:crossAx val="122419840"/>
        <c:crosses val="autoZero"/>
        <c:crossBetween val="between"/>
      </c:valAx>
      <c:valAx>
        <c:axId val="122431744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rgbClr val="FF0000"/>
                    </a:solidFill>
                  </a:rPr>
                  <a:t>Heating Degree Days </a:t>
                </a:r>
                <a:r>
                  <a:rPr lang="en-US" baseline="0">
                    <a:solidFill>
                      <a:srgbClr val="FF0000"/>
                    </a:solidFill>
                  </a:rPr>
                  <a:t> Base 65 F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en-US"/>
          </a:p>
        </c:txPr>
        <c:crossAx val="122438016"/>
        <c:crosses val="max"/>
        <c:crossBetween val="between"/>
      </c:valAx>
      <c:dateAx>
        <c:axId val="122438016"/>
        <c:scaling>
          <c:orientation val="minMax"/>
        </c:scaling>
        <c:delete val="1"/>
        <c:axPos val="b"/>
        <c:numFmt formatCode="mmm-yy" sourceLinked="1"/>
        <c:tickLblPos val="none"/>
        <c:crossAx val="122431744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35853118474607149"/>
          <c:y val="0.88564237630019094"/>
          <c:w val="0.26684364683247547"/>
          <c:h val="9.1209475551667266E-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Arlington</a:t>
            </a:r>
            <a:r>
              <a:rPr lang="en-US" sz="1200" baseline="0"/>
              <a:t> Two Family Electrical Consumption </a:t>
            </a:r>
            <a:endParaRPr lang="en-US" sz="1200"/>
          </a:p>
        </c:rich>
      </c:tx>
      <c:layout>
        <c:manualLayout>
          <c:xMode val="edge"/>
          <c:yMode val="edge"/>
          <c:x val="0.13145144936353154"/>
          <c:y val="7.6608095040751487E-2"/>
        </c:manualLayout>
      </c:layout>
    </c:title>
    <c:plotArea>
      <c:layout>
        <c:manualLayout>
          <c:layoutTarget val="inner"/>
          <c:xMode val="edge"/>
          <c:yMode val="edge"/>
          <c:x val="0.15905796150481191"/>
          <c:y val="0.19480351414406533"/>
          <c:w val="0.7133039385529345"/>
          <c:h val="0.56173946677718456"/>
        </c:manualLayout>
      </c:layout>
      <c:barChart>
        <c:barDir val="col"/>
        <c:grouping val="clustered"/>
        <c:ser>
          <c:idx val="0"/>
          <c:order val="0"/>
          <c:tx>
            <c:strRef>
              <c:f>Elec!$D$5</c:f>
              <c:strCache>
                <c:ptCount val="1"/>
                <c:pt idx="0">
                  <c:v>Electric Consumption (kWh)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cat>
            <c:numRef>
              <c:f>Elec!$A$7:$A$25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40731</c:v>
                </c:pt>
                <c:pt idx="7">
                  <c:v>40764</c:v>
                </c:pt>
                <c:pt idx="8">
                  <c:v>40794</c:v>
                </c:pt>
                <c:pt idx="9">
                  <c:v>40823</c:v>
                </c:pt>
                <c:pt idx="10">
                  <c:v>40855</c:v>
                </c:pt>
                <c:pt idx="11">
                  <c:v>40885</c:v>
                </c:pt>
                <c:pt idx="12">
                  <c:v>40918</c:v>
                </c:pt>
                <c:pt idx="13">
                  <c:v>40947</c:v>
                </c:pt>
                <c:pt idx="14">
                  <c:v>40977</c:v>
                </c:pt>
                <c:pt idx="15">
                  <c:v>41005</c:v>
                </c:pt>
                <c:pt idx="16">
                  <c:v>41038</c:v>
                </c:pt>
                <c:pt idx="17">
                  <c:v>41068</c:v>
                </c:pt>
                <c:pt idx="18">
                  <c:v>41100</c:v>
                </c:pt>
              </c:numCache>
            </c:numRef>
          </c:cat>
          <c:val>
            <c:numRef>
              <c:f>Elec!$D$7:$D$25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1032</c:v>
                </c:pt>
                <c:pt idx="7">
                  <c:v>2225</c:v>
                </c:pt>
                <c:pt idx="8">
                  <c:v>1829</c:v>
                </c:pt>
                <c:pt idx="9">
                  <c:v>1304</c:v>
                </c:pt>
                <c:pt idx="10">
                  <c:v>1054</c:v>
                </c:pt>
                <c:pt idx="11">
                  <c:v>870</c:v>
                </c:pt>
                <c:pt idx="12">
                  <c:v>1137</c:v>
                </c:pt>
                <c:pt idx="13">
                  <c:v>923</c:v>
                </c:pt>
                <c:pt idx="14">
                  <c:v>828</c:v>
                </c:pt>
                <c:pt idx="15">
                  <c:v>812</c:v>
                </c:pt>
                <c:pt idx="16">
                  <c:v>878</c:v>
                </c:pt>
                <c:pt idx="17">
                  <c:v>946</c:v>
                </c:pt>
                <c:pt idx="18">
                  <c:v>1390</c:v>
                </c:pt>
              </c:numCache>
            </c:numRef>
          </c:val>
        </c:ser>
        <c:ser>
          <c:idx val="1"/>
          <c:order val="1"/>
          <c:tx>
            <c:strRef>
              <c:f>Elec!$E$5</c:f>
              <c:strCache>
                <c:ptCount val="1"/>
                <c:pt idx="0">
                  <c:v>PV Production (kWh)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>
                  <a:alpha val="25000"/>
                </a:schemeClr>
              </a:solidFill>
            </a:ln>
          </c:spPr>
          <c:cat>
            <c:numRef>
              <c:f>Elec!$A$7:$A$25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40731</c:v>
                </c:pt>
                <c:pt idx="7">
                  <c:v>40764</c:v>
                </c:pt>
                <c:pt idx="8">
                  <c:v>40794</c:v>
                </c:pt>
                <c:pt idx="9">
                  <c:v>40823</c:v>
                </c:pt>
                <c:pt idx="10">
                  <c:v>40855</c:v>
                </c:pt>
                <c:pt idx="11">
                  <c:v>40885</c:v>
                </c:pt>
                <c:pt idx="12">
                  <c:v>40918</c:v>
                </c:pt>
                <c:pt idx="13">
                  <c:v>40947</c:v>
                </c:pt>
                <c:pt idx="14">
                  <c:v>40977</c:v>
                </c:pt>
                <c:pt idx="15">
                  <c:v>41005</c:v>
                </c:pt>
                <c:pt idx="16">
                  <c:v>41038</c:v>
                </c:pt>
                <c:pt idx="17">
                  <c:v>41068</c:v>
                </c:pt>
                <c:pt idx="18">
                  <c:v>41100</c:v>
                </c:pt>
              </c:numCache>
            </c:numRef>
          </c:cat>
          <c:val>
            <c:numRef>
              <c:f>Elec!$E$7:$E$25</c:f>
              <c:numCache>
                <c:formatCode>General</c:formatCode>
                <c:ptCount val="19"/>
              </c:numCache>
            </c:numRef>
          </c:val>
        </c:ser>
        <c:gapWidth val="202"/>
        <c:overlap val="100"/>
        <c:axId val="122470400"/>
        <c:axId val="122472320"/>
      </c:barChart>
      <c:lineChart>
        <c:grouping val="standard"/>
        <c:ser>
          <c:idx val="2"/>
          <c:order val="2"/>
          <c:tx>
            <c:strRef>
              <c:f>Elec!$F$5</c:f>
              <c:strCache>
                <c:ptCount val="1"/>
                <c:pt idx="0">
                  <c:v>HDD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Elec!$A$7:$A$12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Elec!$F$7:$F$25</c:f>
              <c:numCache>
                <c:formatCode>General</c:formatCode>
                <c:ptCount val="19"/>
                <c:pt idx="0">
                  <c:v>1298</c:v>
                </c:pt>
                <c:pt idx="1">
                  <c:v>1070</c:v>
                </c:pt>
                <c:pt idx="2">
                  <c:v>885</c:v>
                </c:pt>
                <c:pt idx="3">
                  <c:v>502</c:v>
                </c:pt>
                <c:pt idx="4">
                  <c:v>268</c:v>
                </c:pt>
                <c:pt idx="5">
                  <c:v>113</c:v>
                </c:pt>
                <c:pt idx="6">
                  <c:v>20</c:v>
                </c:pt>
                <c:pt idx="7">
                  <c:v>31</c:v>
                </c:pt>
                <c:pt idx="8">
                  <c:v>108</c:v>
                </c:pt>
                <c:pt idx="9">
                  <c:v>418</c:v>
                </c:pt>
                <c:pt idx="10">
                  <c:v>563</c:v>
                </c:pt>
                <c:pt idx="11">
                  <c:v>882</c:v>
                </c:pt>
                <c:pt idx="12">
                  <c:v>1053</c:v>
                </c:pt>
                <c:pt idx="13">
                  <c:v>895</c:v>
                </c:pt>
                <c:pt idx="14">
                  <c:v>652</c:v>
                </c:pt>
                <c:pt idx="15">
                  <c:v>463</c:v>
                </c:pt>
                <c:pt idx="16">
                  <c:v>208</c:v>
                </c:pt>
                <c:pt idx="17">
                  <c:v>121</c:v>
                </c:pt>
                <c:pt idx="18">
                  <c:v>22</c:v>
                </c:pt>
              </c:numCache>
            </c:numRef>
          </c:val>
        </c:ser>
        <c:marker val="1"/>
        <c:axId val="122470400"/>
        <c:axId val="122472320"/>
      </c:lineChart>
      <c:lineChart>
        <c:grouping val="standard"/>
        <c:ser>
          <c:idx val="3"/>
          <c:order val="3"/>
          <c:tx>
            <c:strRef>
              <c:f>Elec!$G$5</c:f>
              <c:strCache>
                <c:ptCount val="1"/>
                <c:pt idx="0">
                  <c:v>CDD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Elec!$A$7:$A$12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Elec!$G$7:$G$25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63</c:v>
                </c:pt>
                <c:pt idx="5">
                  <c:v>122</c:v>
                </c:pt>
                <c:pt idx="6">
                  <c:v>309</c:v>
                </c:pt>
                <c:pt idx="7">
                  <c:v>202</c:v>
                </c:pt>
                <c:pt idx="8">
                  <c:v>105</c:v>
                </c:pt>
                <c:pt idx="9">
                  <c:v>15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23</c:v>
                </c:pt>
                <c:pt idx="15">
                  <c:v>26</c:v>
                </c:pt>
                <c:pt idx="16">
                  <c:v>60</c:v>
                </c:pt>
                <c:pt idx="17">
                  <c:v>128</c:v>
                </c:pt>
                <c:pt idx="18">
                  <c:v>291</c:v>
                </c:pt>
              </c:numCache>
            </c:numRef>
          </c:val>
        </c:ser>
        <c:marker val="1"/>
        <c:axId val="122484608"/>
        <c:axId val="122482688"/>
      </c:lineChart>
      <c:dateAx>
        <c:axId val="122470400"/>
        <c:scaling>
          <c:orientation val="minMax"/>
        </c:scaling>
        <c:axPos val="b"/>
        <c:numFmt formatCode="mmm-yy" sourceLinked="1"/>
        <c:tickLblPos val="nextTo"/>
        <c:txPr>
          <a:bodyPr rot="-2640000"/>
          <a:lstStyle/>
          <a:p>
            <a:pPr>
              <a:defRPr/>
            </a:pPr>
            <a:endParaRPr lang="en-US"/>
          </a:p>
        </c:txPr>
        <c:crossAx val="122472320"/>
        <c:crosses val="autoZero"/>
        <c:auto val="1"/>
        <c:lblOffset val="100"/>
      </c:dateAx>
      <c:valAx>
        <c:axId val="1224723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 (monthly) &amp;</a:t>
                </a:r>
                <a:r>
                  <a:rPr lang="en-US" baseline="0"/>
                  <a:t> </a:t>
                </a:r>
                <a:r>
                  <a:rPr lang="en-US" baseline="0">
                    <a:solidFill>
                      <a:srgbClr val="FF0000"/>
                    </a:solidFill>
                  </a:rPr>
                  <a:t>HDD (65F)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</c:title>
        <c:numFmt formatCode="0" sourceLinked="1"/>
        <c:tickLblPos val="nextTo"/>
        <c:crossAx val="122470400"/>
        <c:crosses val="autoZero"/>
        <c:crossBetween val="between"/>
        <c:majorUnit val="200"/>
      </c:valAx>
      <c:valAx>
        <c:axId val="122482688"/>
        <c:scaling>
          <c:orientation val="minMax"/>
          <c:min val="-10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chemeClr val="accent1"/>
                    </a:solidFill>
                  </a:rPr>
                  <a:t>CDD (65 F)</a:t>
                </a:r>
              </a:p>
            </c:rich>
          </c:tx>
          <c:spPr>
            <a:noFill/>
            <a:ln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122484608"/>
        <c:crosses val="max"/>
        <c:crossBetween val="between"/>
        <c:majorUnit val="20"/>
      </c:valAx>
      <c:dateAx>
        <c:axId val="122484608"/>
        <c:scaling>
          <c:orientation val="minMax"/>
        </c:scaling>
        <c:delete val="1"/>
        <c:axPos val="b"/>
        <c:numFmt formatCode="mmm-yy" sourceLinked="1"/>
        <c:tickLblPos val="none"/>
        <c:crossAx val="122482688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1730912223168655"/>
          <c:y val="0.8239977897499593"/>
          <c:w val="0.79247134733158364"/>
          <c:h val="0.1112941013952207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1988351456068"/>
          <c:y val="2.6478287660211378E-2"/>
          <c:w val="0.7473803774528186"/>
          <c:h val="0.7211245990084576"/>
        </c:manualLayout>
      </c:layout>
      <c:barChart>
        <c:barDir val="col"/>
        <c:grouping val="clustered"/>
        <c:ser>
          <c:idx val="0"/>
          <c:order val="0"/>
          <c:tx>
            <c:v>Source MMBtu</c:v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cat>
            <c:numRef>
              <c:f>'Energy Use'!$J$17:$J$28</c:f>
              <c:numCache>
                <c:formatCode>mmm-yy</c:formatCode>
                <c:ptCount val="12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</c:numCache>
            </c:numRef>
          </c:cat>
          <c:val>
            <c:numRef>
              <c:f>'Energy Use'!$Z$17:$Z$28</c:f>
              <c:numCache>
                <c:formatCode>0.00</c:formatCode>
                <c:ptCount val="12"/>
                <c:pt idx="0">
                  <c:v>27.038909499999999</c:v>
                </c:pt>
                <c:pt idx="1">
                  <c:v>22.315339179999999</c:v>
                </c:pt>
                <c:pt idx="2">
                  <c:v>17.377643679999998</c:v>
                </c:pt>
                <c:pt idx="3">
                  <c:v>18.08758868</c:v>
                </c:pt>
                <c:pt idx="4">
                  <c:v>17.037095399999998</c:v>
                </c:pt>
                <c:pt idx="5">
                  <c:v>23.01234054</c:v>
                </c:pt>
                <c:pt idx="6">
                  <c:v>20.258764659999997</c:v>
                </c:pt>
                <c:pt idx="7">
                  <c:v>15.40661976</c:v>
                </c:pt>
                <c:pt idx="8">
                  <c:v>13.549029039999999</c:v>
                </c:pt>
                <c:pt idx="9">
                  <c:v>12.940290759999998</c:v>
                </c:pt>
                <c:pt idx="10">
                  <c:v>12.354351319999999</c:v>
                </c:pt>
                <c:pt idx="11">
                  <c:v>17.206293799999997</c:v>
                </c:pt>
              </c:numCache>
            </c:numRef>
          </c:val>
        </c:ser>
        <c:axId val="124996608"/>
        <c:axId val="124998784"/>
      </c:barChart>
      <c:lineChart>
        <c:grouping val="standard"/>
        <c:ser>
          <c:idx val="1"/>
          <c:order val="1"/>
          <c:tx>
            <c:v>HDD</c:v>
          </c:tx>
          <c:val>
            <c:numRef>
              <c:f>HDD!$B$21:$B$32</c:f>
              <c:numCache>
                <c:formatCode>General</c:formatCode>
                <c:ptCount val="12"/>
                <c:pt idx="0">
                  <c:v>31</c:v>
                </c:pt>
                <c:pt idx="1">
                  <c:v>108</c:v>
                </c:pt>
                <c:pt idx="2">
                  <c:v>418</c:v>
                </c:pt>
                <c:pt idx="3">
                  <c:v>563</c:v>
                </c:pt>
                <c:pt idx="4">
                  <c:v>882</c:v>
                </c:pt>
                <c:pt idx="5">
                  <c:v>1053</c:v>
                </c:pt>
                <c:pt idx="6">
                  <c:v>895</c:v>
                </c:pt>
                <c:pt idx="7">
                  <c:v>652</c:v>
                </c:pt>
                <c:pt idx="8">
                  <c:v>463</c:v>
                </c:pt>
                <c:pt idx="9">
                  <c:v>208</c:v>
                </c:pt>
                <c:pt idx="10">
                  <c:v>121</c:v>
                </c:pt>
                <c:pt idx="11">
                  <c:v>22</c:v>
                </c:pt>
              </c:numCache>
            </c:numRef>
          </c:val>
        </c:ser>
        <c:ser>
          <c:idx val="2"/>
          <c:order val="2"/>
          <c:tx>
            <c:v>CDD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CDD!$B$21:$B$32</c:f>
              <c:numCache>
                <c:formatCode>General</c:formatCode>
                <c:ptCount val="12"/>
                <c:pt idx="0">
                  <c:v>202</c:v>
                </c:pt>
                <c:pt idx="1">
                  <c:v>105</c:v>
                </c:pt>
                <c:pt idx="2">
                  <c:v>15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</c:v>
                </c:pt>
                <c:pt idx="8">
                  <c:v>26</c:v>
                </c:pt>
                <c:pt idx="9">
                  <c:v>60</c:v>
                </c:pt>
                <c:pt idx="10">
                  <c:v>128</c:v>
                </c:pt>
                <c:pt idx="11">
                  <c:v>291</c:v>
                </c:pt>
              </c:numCache>
            </c:numRef>
          </c:val>
        </c:ser>
        <c:marker val="1"/>
        <c:axId val="125047168"/>
        <c:axId val="125000320"/>
      </c:lineChart>
      <c:dateAx>
        <c:axId val="124996608"/>
        <c:scaling>
          <c:orientation val="minMax"/>
        </c:scaling>
        <c:axPos val="b"/>
        <c:numFmt formatCode="mmm-yy" sourceLinked="1"/>
        <c:tickLblPos val="nextTo"/>
        <c:crossAx val="124998784"/>
        <c:crosses val="autoZero"/>
        <c:auto val="1"/>
        <c:lblOffset val="100"/>
      </c:dateAx>
      <c:valAx>
        <c:axId val="124998784"/>
        <c:scaling>
          <c:orientation val="minMax"/>
        </c:scaling>
        <c:axPos val="l"/>
        <c:majorGridlines/>
        <c:numFmt formatCode="0" sourceLinked="0"/>
        <c:tickLblPos val="nextTo"/>
        <c:crossAx val="124996608"/>
        <c:crosses val="autoZero"/>
        <c:crossBetween val="between"/>
      </c:valAx>
      <c:valAx>
        <c:axId val="125000320"/>
        <c:scaling>
          <c:orientation val="minMax"/>
        </c:scaling>
        <c:axPos val="r"/>
        <c:numFmt formatCode="General" sourceLinked="1"/>
        <c:tickLblPos val="nextTo"/>
        <c:crossAx val="125047168"/>
        <c:crosses val="max"/>
        <c:crossBetween val="between"/>
      </c:valAx>
      <c:catAx>
        <c:axId val="125047168"/>
        <c:scaling>
          <c:orientation val="minMax"/>
        </c:scaling>
        <c:delete val="1"/>
        <c:axPos val="b"/>
        <c:tickLblPos val="none"/>
        <c:crossAx val="125000320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24189716285464324"/>
          <c:y val="0.89471950432425451"/>
          <c:w val="0.51620567429071362"/>
          <c:h val="0.10090891097629197"/>
        </c:manualLayout>
      </c:layout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Natural Gas energy use vs HDD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'Weather Lin Regr Analysis'!$G$9:$G$20</c:f>
              <c:numCache>
                <c:formatCode>General</c:formatCode>
                <c:ptCount val="12"/>
                <c:pt idx="0">
                  <c:v>31</c:v>
                </c:pt>
                <c:pt idx="1">
                  <c:v>108</c:v>
                </c:pt>
                <c:pt idx="2">
                  <c:v>418</c:v>
                </c:pt>
                <c:pt idx="3">
                  <c:v>563</c:v>
                </c:pt>
                <c:pt idx="4">
                  <c:v>882</c:v>
                </c:pt>
                <c:pt idx="5">
                  <c:v>1053</c:v>
                </c:pt>
                <c:pt idx="6">
                  <c:v>895</c:v>
                </c:pt>
                <c:pt idx="7">
                  <c:v>652</c:v>
                </c:pt>
                <c:pt idx="8">
                  <c:v>463</c:v>
                </c:pt>
                <c:pt idx="9">
                  <c:v>208</c:v>
                </c:pt>
                <c:pt idx="10">
                  <c:v>121</c:v>
                </c:pt>
                <c:pt idx="11">
                  <c:v>22</c:v>
                </c:pt>
              </c:numCache>
            </c:numRef>
          </c:xVal>
          <c:yVal>
            <c:numRef>
              <c:f>'Weather Lin Regr Analysis'!$E$9:$E$20</c:f>
              <c:numCache>
                <c:formatCode>0.00</c:formatCode>
                <c:ptCount val="12"/>
                <c:pt idx="0">
                  <c:v>1.6</c:v>
                </c:pt>
                <c:pt idx="1">
                  <c:v>1.4000000000000001</c:v>
                </c:pt>
                <c:pt idx="2">
                  <c:v>2.4000000000000004</c:v>
                </c:pt>
                <c:pt idx="3">
                  <c:v>5.8000000000000007</c:v>
                </c:pt>
                <c:pt idx="4">
                  <c:v>6.8000000000000007</c:v>
                </c:pt>
                <c:pt idx="5">
                  <c:v>9.6000000000000014</c:v>
                </c:pt>
                <c:pt idx="6">
                  <c:v>9.3000000000000007</c:v>
                </c:pt>
                <c:pt idx="7">
                  <c:v>5.7</c:v>
                </c:pt>
                <c:pt idx="8">
                  <c:v>4.1000000000000005</c:v>
                </c:pt>
                <c:pt idx="9">
                  <c:v>2.8000000000000003</c:v>
                </c:pt>
                <c:pt idx="10">
                  <c:v>1.5</c:v>
                </c:pt>
                <c:pt idx="11">
                  <c:v>1.3</c:v>
                </c:pt>
              </c:numCache>
            </c:numRef>
          </c:yVal>
        </c:ser>
        <c:axId val="126784256"/>
        <c:axId val="126785792"/>
      </c:scatterChart>
      <c:valAx>
        <c:axId val="126784256"/>
        <c:scaling>
          <c:orientation val="minMax"/>
        </c:scaling>
        <c:axPos val="b"/>
        <c:numFmt formatCode="General" sourceLinked="1"/>
        <c:tickLblPos val="nextTo"/>
        <c:crossAx val="126785792"/>
        <c:crosses val="autoZero"/>
        <c:crossBetween val="midCat"/>
      </c:valAx>
      <c:valAx>
        <c:axId val="126785792"/>
        <c:scaling>
          <c:orientation val="minMax"/>
        </c:scaling>
        <c:axPos val="l"/>
        <c:majorGridlines/>
        <c:numFmt formatCode="0.00" sourceLinked="1"/>
        <c:tickLblPos val="nextTo"/>
        <c:crossAx val="1267842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3</xdr:row>
      <xdr:rowOff>175260</xdr:rowOff>
    </xdr:from>
    <xdr:to>
      <xdr:col>17</xdr:col>
      <xdr:colOff>213360</xdr:colOff>
      <xdr:row>21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2</xdr:row>
      <xdr:rowOff>160020</xdr:rowOff>
    </xdr:from>
    <xdr:to>
      <xdr:col>17</xdr:col>
      <xdr:colOff>548640</xdr:colOff>
      <xdr:row>22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0.89441</cdr:x>
      <cdr:y>0.58903</cdr:y>
    </cdr:from>
    <cdr:to>
      <cdr:x>0.94444</cdr:x>
      <cdr:y>0.81851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631065" y="2221776"/>
          <a:ext cx="259045" cy="865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609599</xdr:colOff>
      <xdr:row>40</xdr:row>
      <xdr:rowOff>152401</xdr:rowOff>
    </xdr:from>
    <xdr:to>
      <xdr:col>17</xdr:col>
      <xdr:colOff>123824</xdr:colOff>
      <xdr:row>56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0.00571</cdr:x>
      <cdr:y>0</cdr:y>
    </cdr:from>
    <cdr:to>
      <cdr:x>0.06667</cdr:x>
      <cdr:y>0.7541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14400" y="942975"/>
          <a:ext cx="2190751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Source Energy MMBtu</a:t>
          </a:r>
          <a:r>
            <a:rPr lang="en-US" sz="1000" b="1" baseline="0"/>
            <a:t> (monthly)</a:t>
          </a:r>
          <a:endParaRPr lang="en-US" sz="1000" b="1"/>
        </a:p>
      </cdr:txBody>
    </cdr:sp>
  </cdr:relSizeAnchor>
  <cdr:relSizeAnchor xmlns:cdr="http://schemas.openxmlformats.org/drawingml/2006/chartDrawing">
    <cdr:from>
      <cdr:x>0.94286</cdr:x>
      <cdr:y>0</cdr:y>
    </cdr:from>
    <cdr:to>
      <cdr:x>0.99048</cdr:x>
      <cdr:y>0.43607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4200526" y="514350"/>
          <a:ext cx="1266826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HDD &amp; CDD (65F)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0</xdr:rowOff>
    </xdr:from>
    <xdr:to>
      <xdr:col>11</xdr:col>
      <xdr:colOff>304800</xdr:colOff>
      <xdr:row>37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35"/>
  <sheetViews>
    <sheetView topLeftCell="A5" workbookViewId="0">
      <selection activeCell="V33" sqref="V33"/>
    </sheetView>
  </sheetViews>
  <sheetFormatPr defaultRowHeight="15"/>
  <cols>
    <col min="1" max="6" width="9.140625" style="19"/>
    <col min="7" max="8" width="9.5703125" style="19" bestFit="1" customWidth="1"/>
    <col min="9" max="18" width="9.140625" style="19"/>
    <col min="19" max="20" width="9.5703125" style="19" bestFit="1" customWidth="1"/>
    <col min="21" max="21" width="9.140625" style="19"/>
    <col min="22" max="22" width="11.140625" style="19" customWidth="1"/>
    <col min="23" max="23" width="13.140625" style="19" customWidth="1"/>
    <col min="24" max="24" width="14.42578125" style="19" customWidth="1"/>
    <col min="25" max="16384" width="9.140625" style="19"/>
  </cols>
  <sheetData>
    <row r="3" spans="2:24">
      <c r="B3" s="31" t="s">
        <v>44</v>
      </c>
      <c r="C3" s="32"/>
      <c r="D3" s="32"/>
      <c r="E3" s="32"/>
      <c r="F3" s="32"/>
      <c r="G3" s="32"/>
      <c r="H3" s="33"/>
      <c r="J3" s="19" t="s">
        <v>49</v>
      </c>
    </row>
    <row r="4" spans="2:24">
      <c r="B4" s="34"/>
      <c r="C4" s="35" t="s">
        <v>45</v>
      </c>
      <c r="D4" s="35" t="s">
        <v>0</v>
      </c>
      <c r="E4" s="35" t="s">
        <v>46</v>
      </c>
      <c r="F4" s="35" t="s">
        <v>0</v>
      </c>
      <c r="G4" s="35"/>
      <c r="H4" s="36" t="s">
        <v>48</v>
      </c>
      <c r="J4" s="8" t="s">
        <v>50</v>
      </c>
    </row>
    <row r="5" spans="2:24">
      <c r="B5" s="37">
        <v>40057</v>
      </c>
      <c r="C5" s="35"/>
      <c r="D5" s="35">
        <v>57</v>
      </c>
      <c r="E5" s="35"/>
      <c r="F5" s="35"/>
      <c r="G5" s="35"/>
      <c r="H5" s="36">
        <f>D5+F5</f>
        <v>57</v>
      </c>
      <c r="J5" s="19" t="s">
        <v>51</v>
      </c>
    </row>
    <row r="6" spans="2:24">
      <c r="B6" s="37">
        <v>40087</v>
      </c>
      <c r="C6" s="35"/>
      <c r="D6" s="35">
        <v>96</v>
      </c>
      <c r="E6" s="35"/>
      <c r="F6" s="35">
        <v>51</v>
      </c>
      <c r="G6" s="35"/>
      <c r="H6" s="36">
        <f t="shared" ref="H6:H20" si="0">D6+F6</f>
        <v>147</v>
      </c>
      <c r="J6" s="19" t="s">
        <v>52</v>
      </c>
    </row>
    <row r="7" spans="2:24">
      <c r="B7" s="37">
        <v>40118</v>
      </c>
      <c r="C7" s="35"/>
      <c r="D7" s="35">
        <v>176</v>
      </c>
      <c r="E7" s="35"/>
      <c r="F7" s="35">
        <v>165</v>
      </c>
      <c r="G7" s="35"/>
      <c r="H7" s="36">
        <f t="shared" si="0"/>
        <v>341</v>
      </c>
      <c r="O7" s="31" t="s">
        <v>54</v>
      </c>
      <c r="P7" s="32"/>
      <c r="Q7" s="32"/>
      <c r="R7" s="32"/>
      <c r="S7" s="32"/>
      <c r="T7" s="32"/>
      <c r="U7" s="32"/>
      <c r="V7" s="32"/>
      <c r="W7" s="32"/>
      <c r="X7" s="33"/>
    </row>
    <row r="8" spans="2:24">
      <c r="B8" s="37">
        <v>40148</v>
      </c>
      <c r="C8" s="35"/>
      <c r="D8" s="35">
        <v>194</v>
      </c>
      <c r="E8" s="35"/>
      <c r="F8" s="35">
        <v>148</v>
      </c>
      <c r="G8" s="35"/>
      <c r="H8" s="36">
        <f t="shared" si="0"/>
        <v>342</v>
      </c>
      <c r="O8" s="34"/>
      <c r="P8" s="35"/>
      <c r="Q8" s="35"/>
      <c r="R8" s="35" t="s">
        <v>61</v>
      </c>
      <c r="S8" s="35"/>
      <c r="T8" s="35" t="s">
        <v>62</v>
      </c>
      <c r="U8" s="35"/>
      <c r="V8" s="35"/>
      <c r="W8" s="35"/>
      <c r="X8" s="36"/>
    </row>
    <row r="9" spans="2:24">
      <c r="B9" s="37">
        <v>40179</v>
      </c>
      <c r="C9" s="35"/>
      <c r="D9" s="35">
        <v>213</v>
      </c>
      <c r="E9" s="35"/>
      <c r="F9" s="35">
        <v>115</v>
      </c>
      <c r="G9" s="35"/>
      <c r="H9" s="36">
        <f t="shared" si="0"/>
        <v>328</v>
      </c>
      <c r="O9" s="34" t="s">
        <v>55</v>
      </c>
      <c r="P9" s="35"/>
      <c r="Q9" s="35"/>
      <c r="R9" s="35"/>
      <c r="S9" s="35"/>
      <c r="T9" s="35"/>
      <c r="U9" s="35"/>
      <c r="V9" s="35"/>
      <c r="W9" s="35"/>
      <c r="X9" s="36"/>
    </row>
    <row r="10" spans="2:24">
      <c r="B10" s="37">
        <v>40210</v>
      </c>
      <c r="C10" s="35"/>
      <c r="D10" s="35">
        <v>122</v>
      </c>
      <c r="E10" s="35"/>
      <c r="F10" s="35">
        <v>32</v>
      </c>
      <c r="G10" s="35"/>
      <c r="H10" s="36">
        <f t="shared" si="0"/>
        <v>154</v>
      </c>
      <c r="O10" s="34"/>
      <c r="P10" s="35"/>
      <c r="Q10" s="35"/>
      <c r="R10" s="35">
        <v>8866</v>
      </c>
      <c r="S10" s="35"/>
      <c r="T10" s="35">
        <v>10180</v>
      </c>
      <c r="U10" s="35"/>
      <c r="V10" s="35"/>
      <c r="W10" s="35"/>
      <c r="X10" s="36"/>
    </row>
    <row r="11" spans="2:24">
      <c r="B11" s="37">
        <v>40238</v>
      </c>
      <c r="C11" s="35"/>
      <c r="D11" s="35">
        <v>63</v>
      </c>
      <c r="E11" s="35"/>
      <c r="F11" s="35">
        <v>21</v>
      </c>
      <c r="G11" s="35"/>
      <c r="H11" s="36">
        <f t="shared" si="0"/>
        <v>84</v>
      </c>
      <c r="O11" s="34"/>
      <c r="P11" s="35"/>
      <c r="Q11" s="35"/>
      <c r="R11" s="35"/>
      <c r="S11" s="35"/>
      <c r="T11" s="35"/>
      <c r="U11" s="35"/>
      <c r="V11" s="35"/>
      <c r="W11" s="35"/>
      <c r="X11" s="36"/>
    </row>
    <row r="12" spans="2:24">
      <c r="B12" s="37">
        <v>40269</v>
      </c>
      <c r="C12" s="35"/>
      <c r="D12" s="35">
        <v>35</v>
      </c>
      <c r="E12" s="35"/>
      <c r="F12" s="35">
        <v>18</v>
      </c>
      <c r="G12" s="35"/>
      <c r="H12" s="36">
        <f t="shared" si="0"/>
        <v>53</v>
      </c>
      <c r="O12" s="34" t="s">
        <v>56</v>
      </c>
      <c r="P12" s="35"/>
      <c r="Q12" s="35"/>
      <c r="R12" s="35"/>
      <c r="S12" s="35"/>
      <c r="T12" s="35"/>
      <c r="U12" s="35"/>
      <c r="V12" s="35"/>
      <c r="W12" s="35"/>
      <c r="X12" s="36"/>
    </row>
    <row r="13" spans="2:24">
      <c r="B13" s="37">
        <v>40299</v>
      </c>
      <c r="C13" s="35"/>
      <c r="D13" s="35">
        <v>14</v>
      </c>
      <c r="E13" s="35"/>
      <c r="F13" s="35">
        <v>22</v>
      </c>
      <c r="G13" s="35"/>
      <c r="H13" s="36">
        <f t="shared" si="0"/>
        <v>36</v>
      </c>
      <c r="O13" s="34"/>
      <c r="P13" s="35"/>
      <c r="Q13" s="35"/>
      <c r="R13" s="35">
        <v>3599</v>
      </c>
      <c r="S13" s="35"/>
      <c r="T13" s="35">
        <v>4605</v>
      </c>
      <c r="U13" s="35"/>
      <c r="V13" s="35"/>
      <c r="W13" s="35"/>
      <c r="X13" s="36"/>
    </row>
    <row r="14" spans="2:24">
      <c r="B14" s="37">
        <v>40330</v>
      </c>
      <c r="C14" s="35"/>
      <c r="D14" s="35">
        <v>8</v>
      </c>
      <c r="E14" s="35"/>
      <c r="F14" s="35">
        <v>17</v>
      </c>
      <c r="G14" s="35"/>
      <c r="H14" s="36">
        <f t="shared" si="0"/>
        <v>25</v>
      </c>
      <c r="O14" s="34"/>
      <c r="P14" s="35"/>
      <c r="Q14" s="35"/>
      <c r="R14" s="35"/>
      <c r="S14" s="35"/>
      <c r="T14" s="35"/>
      <c r="U14" s="35"/>
      <c r="V14" s="35"/>
      <c r="W14" s="35"/>
      <c r="X14" s="36"/>
    </row>
    <row r="15" spans="2:24">
      <c r="B15" s="37">
        <v>40360</v>
      </c>
      <c r="C15" s="35"/>
      <c r="D15" s="35">
        <v>7</v>
      </c>
      <c r="E15" s="35"/>
      <c r="F15" s="35">
        <v>11</v>
      </c>
      <c r="G15" s="35" t="s">
        <v>47</v>
      </c>
      <c r="H15" s="36">
        <f t="shared" si="0"/>
        <v>18</v>
      </c>
      <c r="O15" s="34" t="s">
        <v>57</v>
      </c>
      <c r="P15" s="35"/>
      <c r="Q15" s="35"/>
      <c r="R15" s="35"/>
      <c r="S15" s="35"/>
      <c r="T15" s="35"/>
      <c r="U15" s="35"/>
      <c r="V15" s="35"/>
      <c r="W15" s="35"/>
      <c r="X15" s="36"/>
    </row>
    <row r="16" spans="2:24">
      <c r="B16" s="37">
        <v>40391</v>
      </c>
      <c r="C16" s="35"/>
      <c r="D16" s="35">
        <v>1</v>
      </c>
      <c r="E16" s="35"/>
      <c r="F16" s="35">
        <v>1</v>
      </c>
      <c r="G16" s="35"/>
      <c r="H16" s="36">
        <f t="shared" si="0"/>
        <v>2</v>
      </c>
      <c r="I16" s="19">
        <f>SUM(H5:H16)</f>
        <v>1587</v>
      </c>
      <c r="J16" s="19" t="s">
        <v>53</v>
      </c>
      <c r="O16" s="34"/>
      <c r="P16" s="35">
        <v>0</v>
      </c>
      <c r="Q16" s="35"/>
      <c r="R16" s="35"/>
      <c r="S16" s="35"/>
      <c r="T16" s="35"/>
      <c r="U16" s="35"/>
      <c r="V16" s="35"/>
      <c r="W16" s="35"/>
      <c r="X16" s="36"/>
    </row>
    <row r="17" spans="1:24">
      <c r="B17" s="37">
        <v>40422</v>
      </c>
      <c r="C17" s="35"/>
      <c r="D17" s="35">
        <v>8</v>
      </c>
      <c r="E17" s="35"/>
      <c r="F17" s="35">
        <v>8</v>
      </c>
      <c r="G17" s="35"/>
      <c r="H17" s="36">
        <f t="shared" si="0"/>
        <v>16</v>
      </c>
      <c r="O17" s="34"/>
      <c r="P17" s="35"/>
      <c r="Q17" s="35"/>
      <c r="R17" s="35"/>
      <c r="S17" s="35"/>
      <c r="T17" s="35"/>
      <c r="U17" s="35"/>
      <c r="V17" s="35"/>
      <c r="W17" s="35"/>
      <c r="X17" s="36"/>
    </row>
    <row r="18" spans="1:24">
      <c r="B18" s="37">
        <v>40452</v>
      </c>
      <c r="C18" s="35"/>
      <c r="D18" s="35">
        <v>1</v>
      </c>
      <c r="E18" s="35"/>
      <c r="F18" s="35">
        <v>50</v>
      </c>
      <c r="G18" s="35"/>
      <c r="H18" s="36">
        <f t="shared" si="0"/>
        <v>51</v>
      </c>
      <c r="O18" s="41"/>
      <c r="P18" s="39"/>
      <c r="Q18" s="39"/>
      <c r="R18" s="39"/>
      <c r="S18" s="39"/>
      <c r="T18" s="39"/>
      <c r="U18" s="39"/>
      <c r="V18" s="39"/>
      <c r="W18" s="39"/>
      <c r="X18" s="40"/>
    </row>
    <row r="19" spans="1:24">
      <c r="B19" s="37">
        <v>40483</v>
      </c>
      <c r="C19" s="35"/>
      <c r="D19" s="35">
        <v>0</v>
      </c>
      <c r="E19" s="35"/>
      <c r="F19" s="35">
        <v>77</v>
      </c>
      <c r="G19" s="35"/>
      <c r="H19" s="36">
        <f t="shared" si="0"/>
        <v>77</v>
      </c>
    </row>
    <row r="20" spans="1:24">
      <c r="B20" s="38">
        <v>40513</v>
      </c>
      <c r="C20" s="39"/>
      <c r="D20" s="39">
        <v>67</v>
      </c>
      <c r="E20" s="39"/>
      <c r="F20" s="39">
        <v>77</v>
      </c>
      <c r="G20" s="39"/>
      <c r="H20" s="36">
        <f t="shared" si="0"/>
        <v>144</v>
      </c>
    </row>
    <row r="21" spans="1:24">
      <c r="B21" s="1"/>
    </row>
    <row r="22" spans="1:24">
      <c r="B22" s="1"/>
    </row>
    <row r="23" spans="1:24">
      <c r="B23" s="1"/>
    </row>
    <row r="24" spans="1:24">
      <c r="C24" s="19" t="s">
        <v>28</v>
      </c>
      <c r="E24" s="28">
        <f>1/E26</f>
        <v>292.99736302373282</v>
      </c>
    </row>
    <row r="25" spans="1:24">
      <c r="C25" s="19" t="s">
        <v>25</v>
      </c>
      <c r="E25" s="26">
        <f>100000/1000000</f>
        <v>0.1</v>
      </c>
    </row>
    <row r="26" spans="1:24">
      <c r="C26" s="19" t="s">
        <v>24</v>
      </c>
      <c r="E26" s="19">
        <f>3413/1000000</f>
        <v>3.4129999999999998E-3</v>
      </c>
    </row>
    <row r="27" spans="1:24">
      <c r="B27" s="19" t="s">
        <v>27</v>
      </c>
      <c r="E27" s="19">
        <v>3.34</v>
      </c>
    </row>
    <row r="28" spans="1:24">
      <c r="B28" s="19" t="s">
        <v>26</v>
      </c>
      <c r="E28" s="19">
        <v>1.0469999999999999</v>
      </c>
    </row>
    <row r="29" spans="1:24">
      <c r="J29" s="8"/>
      <c r="K29" s="8"/>
      <c r="L29" s="8"/>
      <c r="M29" s="8"/>
      <c r="N29" s="8"/>
      <c r="O29" s="8"/>
      <c r="S29" s="19" t="s">
        <v>31</v>
      </c>
      <c r="U29" s="19" t="s">
        <v>34</v>
      </c>
    </row>
    <row r="30" spans="1:24">
      <c r="J30" s="8" t="s">
        <v>29</v>
      </c>
      <c r="K30" s="8"/>
      <c r="L30" s="19" t="s">
        <v>30</v>
      </c>
      <c r="N30" s="19" t="s">
        <v>21</v>
      </c>
      <c r="O30" s="19" t="s">
        <v>22</v>
      </c>
    </row>
    <row r="31" spans="1:24">
      <c r="A31" s="19" t="s">
        <v>63</v>
      </c>
      <c r="C31" s="19" t="s">
        <v>0</v>
      </c>
      <c r="D31" s="19" t="s">
        <v>21</v>
      </c>
      <c r="E31" s="19" t="s">
        <v>22</v>
      </c>
      <c r="G31" s="19" t="s">
        <v>20</v>
      </c>
      <c r="H31" s="19" t="s">
        <v>23</v>
      </c>
      <c r="J31" s="8" t="s">
        <v>4</v>
      </c>
      <c r="K31" s="8"/>
      <c r="P31" s="19" t="s">
        <v>1</v>
      </c>
      <c r="Q31" s="19" t="s">
        <v>6</v>
      </c>
      <c r="S31" s="19" t="s">
        <v>32</v>
      </c>
      <c r="T31" s="19" t="s">
        <v>33</v>
      </c>
      <c r="U31" s="19" t="s">
        <v>32</v>
      </c>
      <c r="V31" s="19" t="s">
        <v>33</v>
      </c>
    </row>
    <row r="32" spans="1:24">
      <c r="J32" s="8"/>
      <c r="K32" s="8"/>
    </row>
    <row r="33" spans="1:23">
      <c r="A33" s="19" t="s">
        <v>67</v>
      </c>
      <c r="B33" s="1"/>
      <c r="C33" s="3">
        <f>R13</f>
        <v>3599</v>
      </c>
      <c r="D33" s="27">
        <f>C33*E$25</f>
        <v>359.90000000000003</v>
      </c>
      <c r="E33" s="28">
        <f>D33*E$28</f>
        <v>376.81530000000004</v>
      </c>
      <c r="G33" s="28">
        <f>D33*E$24</f>
        <v>105449.75095224145</v>
      </c>
      <c r="H33" s="28">
        <f>E33*E$24</f>
        <v>110405.8892469968</v>
      </c>
      <c r="I33" s="28"/>
      <c r="J33" s="52">
        <f>R10</f>
        <v>8866</v>
      </c>
      <c r="K33" s="29"/>
      <c r="L33" s="28">
        <f>J33*E$27</f>
        <v>29612.44</v>
      </c>
      <c r="N33" s="28">
        <f>J33*E$26</f>
        <v>30.259657999999998</v>
      </c>
      <c r="O33" s="28">
        <f>L33*E$26</f>
        <v>101.06725771999999</v>
      </c>
      <c r="P33" s="19">
        <f>HDD!A37</f>
        <v>0</v>
      </c>
      <c r="Q33" s="19">
        <f>CDD!A37</f>
        <v>0</v>
      </c>
      <c r="S33" s="28">
        <f>G33+J33</f>
        <v>114315.75095224145</v>
      </c>
      <c r="T33" s="28">
        <f>H33+L33</f>
        <v>140018.32924699679</v>
      </c>
      <c r="U33" s="28">
        <f>D33+N33</f>
        <v>390.15965800000004</v>
      </c>
      <c r="V33" s="28">
        <f>E33+O33</f>
        <v>477.88255772000002</v>
      </c>
      <c r="W33" s="28"/>
    </row>
    <row r="34" spans="1:23">
      <c r="A34" s="19" t="s">
        <v>68</v>
      </c>
      <c r="C34" s="19">
        <f>T13</f>
        <v>4605</v>
      </c>
      <c r="D34" s="27">
        <f>C34*E$25</f>
        <v>460.5</v>
      </c>
      <c r="E34" s="28">
        <f>D34*E$28</f>
        <v>482.14349999999996</v>
      </c>
      <c r="G34" s="28">
        <f>D34*E$24</f>
        <v>134925.28567242896</v>
      </c>
      <c r="H34" s="28">
        <f>E34*E$24</f>
        <v>141266.77409903312</v>
      </c>
      <c r="J34" s="8">
        <f>T10</f>
        <v>10180</v>
      </c>
      <c r="K34" s="8"/>
      <c r="L34" s="28">
        <f>J34*E$27</f>
        <v>34001.199999999997</v>
      </c>
      <c r="N34" s="28">
        <f>J34*E$26</f>
        <v>34.744340000000001</v>
      </c>
      <c r="O34" s="28">
        <f>L34*E$26</f>
        <v>116.04609559999999</v>
      </c>
      <c r="P34" s="19">
        <f>HDD!A38</f>
        <v>0</v>
      </c>
      <c r="Q34" s="19">
        <f>CDD!A38</f>
        <v>0</v>
      </c>
      <c r="S34" s="28">
        <f>G34+J34</f>
        <v>145105.28567242896</v>
      </c>
      <c r="T34" s="28">
        <f>H34+L34</f>
        <v>175267.9740990331</v>
      </c>
      <c r="U34" s="28">
        <f>D34+N34</f>
        <v>495.24434000000002</v>
      </c>
      <c r="V34" s="28">
        <f>E34+O34</f>
        <v>598.18959559999996</v>
      </c>
    </row>
    <row r="35" spans="1:23">
      <c r="J35" s="8"/>
      <c r="K35" s="8"/>
      <c r="L35" s="8"/>
      <c r="M35" s="8"/>
      <c r="N35" s="8"/>
      <c r="O35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U45"/>
  <sheetViews>
    <sheetView topLeftCell="A11" workbookViewId="0">
      <selection activeCell="C12" sqref="C12"/>
    </sheetView>
  </sheetViews>
  <sheetFormatPr defaultRowHeight="15"/>
  <cols>
    <col min="3" max="3" width="9.140625" style="19"/>
    <col min="5" max="5" width="9.140625" style="19"/>
    <col min="18" max="18" width="10.28515625" customWidth="1"/>
    <col min="19" max="19" width="11.85546875" customWidth="1"/>
    <col min="20" max="20" width="11.7109375" customWidth="1"/>
  </cols>
  <sheetData>
    <row r="2" spans="1:21">
      <c r="B2" s="19" t="s">
        <v>36</v>
      </c>
      <c r="G2" s="21"/>
    </row>
    <row r="3" spans="1:21">
      <c r="B3" s="19" t="s">
        <v>37</v>
      </c>
    </row>
    <row r="4" spans="1:21">
      <c r="A4" s="19" t="s">
        <v>17</v>
      </c>
      <c r="F4" s="19" t="s">
        <v>35</v>
      </c>
      <c r="R4" s="53">
        <v>40506</v>
      </c>
      <c r="S4" s="53">
        <v>40539</v>
      </c>
      <c r="T4" s="54">
        <v>33</v>
      </c>
      <c r="U4" s="54">
        <v>0</v>
      </c>
    </row>
    <row r="5" spans="1:21">
      <c r="B5" s="19" t="s">
        <v>58</v>
      </c>
      <c r="C5" s="19" t="s">
        <v>59</v>
      </c>
      <c r="D5" s="19" t="s">
        <v>60</v>
      </c>
      <c r="F5" t="s">
        <v>1</v>
      </c>
      <c r="R5" s="53">
        <v>40539</v>
      </c>
      <c r="S5" s="53">
        <v>40569</v>
      </c>
      <c r="T5" s="54">
        <v>30</v>
      </c>
      <c r="U5" s="54">
        <v>67</v>
      </c>
    </row>
    <row r="6" spans="1:21">
      <c r="A6" s="1">
        <v>40513</v>
      </c>
      <c r="B6">
        <v>0</v>
      </c>
      <c r="C6" s="19">
        <v>77</v>
      </c>
      <c r="D6" s="42">
        <f>B6+C6</f>
        <v>77</v>
      </c>
      <c r="E6" s="3"/>
      <c r="F6" s="2">
        <f>HDD!B13</f>
        <v>1110</v>
      </c>
      <c r="R6" s="53">
        <v>40569</v>
      </c>
      <c r="S6" s="53">
        <v>40598</v>
      </c>
      <c r="T6" s="54">
        <v>29</v>
      </c>
      <c r="U6" s="54">
        <v>35</v>
      </c>
    </row>
    <row r="7" spans="1:21">
      <c r="A7" s="1">
        <v>40544</v>
      </c>
      <c r="B7" s="2">
        <v>67</v>
      </c>
      <c r="C7" s="6">
        <v>77</v>
      </c>
      <c r="D7" s="42">
        <f t="shared" ref="D7:D27" si="0">B7+C7</f>
        <v>144</v>
      </c>
      <c r="E7" s="3"/>
      <c r="F7" s="6">
        <f>HDD!B14</f>
        <v>1298</v>
      </c>
      <c r="R7" s="53">
        <v>40598</v>
      </c>
      <c r="S7" s="53">
        <v>40630</v>
      </c>
      <c r="T7" s="54">
        <v>32</v>
      </c>
      <c r="U7" s="54">
        <v>27</v>
      </c>
    </row>
    <row r="8" spans="1:21">
      <c r="A8" s="1">
        <v>40575</v>
      </c>
      <c r="B8" s="2">
        <v>35</v>
      </c>
      <c r="C8" s="6">
        <v>52</v>
      </c>
      <c r="D8" s="42">
        <f t="shared" si="0"/>
        <v>87</v>
      </c>
      <c r="E8" s="3"/>
      <c r="F8" s="6">
        <f>HDD!B15</f>
        <v>1070</v>
      </c>
      <c r="R8" s="53">
        <v>40630</v>
      </c>
      <c r="S8" s="53">
        <v>40660</v>
      </c>
      <c r="T8" s="54">
        <v>30</v>
      </c>
      <c r="U8" s="54">
        <v>11</v>
      </c>
    </row>
    <row r="9" spans="1:21">
      <c r="A9" s="1">
        <v>40603</v>
      </c>
      <c r="B9" s="2">
        <v>27</v>
      </c>
      <c r="C9" s="6">
        <v>49</v>
      </c>
      <c r="D9" s="42">
        <f t="shared" si="0"/>
        <v>76</v>
      </c>
      <c r="E9" s="3"/>
      <c r="F9" s="6">
        <f>HDD!B16</f>
        <v>885</v>
      </c>
      <c r="R9" s="53">
        <v>40660</v>
      </c>
      <c r="S9" s="53">
        <v>40688</v>
      </c>
      <c r="T9" s="54">
        <v>28</v>
      </c>
      <c r="U9" s="54">
        <v>11</v>
      </c>
    </row>
    <row r="10" spans="1:21">
      <c r="A10" s="1">
        <v>40634</v>
      </c>
      <c r="B10" s="2">
        <v>11</v>
      </c>
      <c r="C10" s="6">
        <v>33</v>
      </c>
      <c r="D10" s="42">
        <f t="shared" si="0"/>
        <v>44</v>
      </c>
      <c r="E10" s="3"/>
      <c r="F10" s="6">
        <f>HDD!B17</f>
        <v>502</v>
      </c>
      <c r="R10" s="53">
        <v>40688</v>
      </c>
      <c r="S10" s="53">
        <v>40721</v>
      </c>
      <c r="T10" s="54">
        <v>33</v>
      </c>
      <c r="U10" s="54">
        <v>8</v>
      </c>
    </row>
    <row r="11" spans="1:21">
      <c r="A11" s="1">
        <v>40664</v>
      </c>
      <c r="B11" s="2">
        <v>11</v>
      </c>
      <c r="C11" s="6">
        <v>20</v>
      </c>
      <c r="D11" s="42">
        <f t="shared" si="0"/>
        <v>31</v>
      </c>
      <c r="E11" s="3"/>
      <c r="F11" s="6">
        <f>HDD!B18</f>
        <v>268</v>
      </c>
      <c r="R11" s="53">
        <v>40721</v>
      </c>
      <c r="S11" s="53">
        <v>40752</v>
      </c>
      <c r="T11" s="54">
        <v>31</v>
      </c>
      <c r="U11" s="54">
        <v>7</v>
      </c>
    </row>
    <row r="12" spans="1:21">
      <c r="A12" s="1">
        <v>40695</v>
      </c>
      <c r="B12" s="2">
        <v>8</v>
      </c>
      <c r="C12" s="6">
        <v>14</v>
      </c>
      <c r="D12" s="42">
        <f t="shared" si="0"/>
        <v>22</v>
      </c>
      <c r="E12" s="3"/>
      <c r="F12" s="6">
        <f>HDD!B19</f>
        <v>113</v>
      </c>
      <c r="R12" s="53">
        <v>40752</v>
      </c>
      <c r="S12" s="53">
        <v>40784</v>
      </c>
      <c r="T12" s="54">
        <v>32</v>
      </c>
      <c r="U12" s="54">
        <v>9</v>
      </c>
    </row>
    <row r="13" spans="1:21">
      <c r="A13" s="1">
        <v>40735</v>
      </c>
      <c r="B13" s="2">
        <v>7</v>
      </c>
      <c r="C13" s="6">
        <v>7</v>
      </c>
      <c r="D13" s="42">
        <f t="shared" si="0"/>
        <v>14</v>
      </c>
      <c r="E13" s="3"/>
      <c r="F13" s="6">
        <f>HDD!B20</f>
        <v>20</v>
      </c>
      <c r="R13" s="53">
        <v>40784</v>
      </c>
      <c r="S13" s="53">
        <v>40812</v>
      </c>
      <c r="T13" s="54">
        <v>28</v>
      </c>
      <c r="U13" s="54">
        <v>8</v>
      </c>
    </row>
    <row r="14" spans="1:21">
      <c r="A14" s="1">
        <v>40766</v>
      </c>
      <c r="B14" s="6">
        <v>9</v>
      </c>
      <c r="C14" s="6">
        <v>7</v>
      </c>
      <c r="D14" s="42">
        <f t="shared" si="0"/>
        <v>16</v>
      </c>
      <c r="E14" s="3"/>
      <c r="F14" s="6">
        <f>HDD!B21</f>
        <v>31</v>
      </c>
      <c r="R14" s="53">
        <v>40812</v>
      </c>
      <c r="S14" s="53">
        <v>40842</v>
      </c>
      <c r="T14" s="54">
        <v>30</v>
      </c>
      <c r="U14" s="54">
        <v>10</v>
      </c>
    </row>
    <row r="15" spans="1:21">
      <c r="A15" s="1">
        <v>40797</v>
      </c>
      <c r="B15" s="6">
        <v>8</v>
      </c>
      <c r="C15" s="6">
        <v>6</v>
      </c>
      <c r="D15" s="42">
        <f t="shared" si="0"/>
        <v>14</v>
      </c>
      <c r="E15" s="3"/>
      <c r="F15" s="6">
        <f>HDD!B22</f>
        <v>108</v>
      </c>
      <c r="R15" s="53">
        <v>40842</v>
      </c>
      <c r="S15" s="53">
        <v>40876</v>
      </c>
      <c r="T15" s="54">
        <v>34</v>
      </c>
      <c r="U15" s="54">
        <v>16</v>
      </c>
    </row>
    <row r="16" spans="1:21">
      <c r="A16" s="1">
        <v>40827</v>
      </c>
      <c r="B16" s="6">
        <v>10</v>
      </c>
      <c r="C16" s="6">
        <v>14</v>
      </c>
      <c r="D16" s="42">
        <f t="shared" si="0"/>
        <v>24</v>
      </c>
      <c r="E16" s="3"/>
      <c r="F16" s="6">
        <f>HDD!B23</f>
        <v>418</v>
      </c>
      <c r="R16" s="53">
        <v>40876</v>
      </c>
      <c r="S16" s="53">
        <v>40905</v>
      </c>
      <c r="T16" s="54">
        <v>29</v>
      </c>
      <c r="U16" s="54">
        <v>23</v>
      </c>
    </row>
    <row r="17" spans="1:21">
      <c r="A17" s="1">
        <v>40858</v>
      </c>
      <c r="B17" s="6">
        <v>16</v>
      </c>
      <c r="C17" s="6">
        <v>42</v>
      </c>
      <c r="D17" s="42">
        <f t="shared" si="0"/>
        <v>58</v>
      </c>
      <c r="E17" s="3"/>
      <c r="F17" s="6">
        <f>HDD!B24</f>
        <v>563</v>
      </c>
      <c r="R17" s="53">
        <v>40905</v>
      </c>
      <c r="S17" s="53">
        <v>40934</v>
      </c>
      <c r="T17" s="54">
        <v>29</v>
      </c>
      <c r="U17" s="54">
        <v>31</v>
      </c>
    </row>
    <row r="18" spans="1:21">
      <c r="A18" s="1">
        <v>40888</v>
      </c>
      <c r="B18" s="6">
        <v>23</v>
      </c>
      <c r="C18" s="6">
        <v>45</v>
      </c>
      <c r="D18" s="42">
        <f t="shared" si="0"/>
        <v>68</v>
      </c>
      <c r="E18" s="3"/>
      <c r="F18" s="6">
        <f>HDD!B25</f>
        <v>882</v>
      </c>
      <c r="R18" s="53">
        <v>40934</v>
      </c>
      <c r="S18" s="53">
        <v>40966</v>
      </c>
      <c r="T18" s="54">
        <v>32</v>
      </c>
      <c r="U18" s="54">
        <v>31</v>
      </c>
    </row>
    <row r="19" spans="1:21">
      <c r="A19" s="1">
        <v>40920</v>
      </c>
      <c r="B19" s="6">
        <v>31</v>
      </c>
      <c r="C19" s="6">
        <v>65</v>
      </c>
      <c r="D19" s="42">
        <f t="shared" si="0"/>
        <v>96</v>
      </c>
      <c r="E19" s="3"/>
      <c r="F19" s="6">
        <f>HDD!B26</f>
        <v>1053</v>
      </c>
      <c r="R19" s="53">
        <v>40966</v>
      </c>
      <c r="S19" s="53">
        <v>40995</v>
      </c>
      <c r="T19" s="54">
        <v>29</v>
      </c>
      <c r="U19" s="54">
        <v>20</v>
      </c>
    </row>
    <row r="20" spans="1:21">
      <c r="A20" s="1">
        <v>40940</v>
      </c>
      <c r="B20" s="6">
        <v>31</v>
      </c>
      <c r="C20" s="6">
        <v>62</v>
      </c>
      <c r="D20" s="42">
        <f t="shared" si="0"/>
        <v>93</v>
      </c>
      <c r="E20" s="3"/>
      <c r="F20" s="6">
        <f>HDD!B27</f>
        <v>895</v>
      </c>
      <c r="R20" s="53">
        <v>40995</v>
      </c>
      <c r="S20" s="53">
        <v>41026</v>
      </c>
      <c r="T20" s="54">
        <v>31</v>
      </c>
      <c r="U20" s="54">
        <v>14</v>
      </c>
    </row>
    <row r="21" spans="1:21">
      <c r="A21" s="1">
        <v>40969</v>
      </c>
      <c r="B21" s="6">
        <v>20</v>
      </c>
      <c r="C21" s="6">
        <v>37</v>
      </c>
      <c r="D21" s="42">
        <f t="shared" si="0"/>
        <v>57</v>
      </c>
      <c r="E21" s="3"/>
      <c r="F21" s="6">
        <f>HDD!B28</f>
        <v>652</v>
      </c>
      <c r="R21" s="53">
        <v>41026</v>
      </c>
      <c r="S21" s="53">
        <v>41058</v>
      </c>
      <c r="T21" s="54">
        <v>32</v>
      </c>
      <c r="U21" s="54">
        <v>11</v>
      </c>
    </row>
    <row r="22" spans="1:21">
      <c r="A22" s="1">
        <v>41000</v>
      </c>
      <c r="B22" s="6">
        <v>14</v>
      </c>
      <c r="C22" s="6">
        <v>27</v>
      </c>
      <c r="D22" s="42">
        <f t="shared" si="0"/>
        <v>41</v>
      </c>
      <c r="E22" s="3"/>
      <c r="F22" s="6">
        <f>HDD!B29</f>
        <v>463</v>
      </c>
      <c r="R22" s="53">
        <v>41058</v>
      </c>
      <c r="S22" s="53">
        <v>41086</v>
      </c>
      <c r="T22" s="54">
        <v>28</v>
      </c>
      <c r="U22" s="54">
        <v>8</v>
      </c>
    </row>
    <row r="23" spans="1:21">
      <c r="A23" s="1">
        <v>41030</v>
      </c>
      <c r="B23" s="6">
        <v>11</v>
      </c>
      <c r="C23" s="6">
        <v>17</v>
      </c>
      <c r="D23" s="42">
        <f t="shared" si="0"/>
        <v>28</v>
      </c>
      <c r="E23" s="3"/>
      <c r="F23" s="6">
        <f>HDD!B30</f>
        <v>208</v>
      </c>
      <c r="R23" s="53">
        <v>41086</v>
      </c>
      <c r="S23" s="53">
        <v>41117</v>
      </c>
      <c r="T23" s="54">
        <v>31</v>
      </c>
      <c r="U23" s="54">
        <v>8</v>
      </c>
    </row>
    <row r="24" spans="1:21">
      <c r="A24" s="1">
        <v>41061</v>
      </c>
      <c r="B24" s="6">
        <v>8</v>
      </c>
      <c r="C24" s="6">
        <v>7</v>
      </c>
      <c r="D24" s="42">
        <f t="shared" si="0"/>
        <v>15</v>
      </c>
      <c r="E24" s="3"/>
      <c r="F24" s="6">
        <f>HDD!B31</f>
        <v>121</v>
      </c>
      <c r="R24" s="53">
        <v>41117</v>
      </c>
      <c r="S24" s="53">
        <v>41149</v>
      </c>
      <c r="T24" s="54">
        <v>32</v>
      </c>
      <c r="U24" s="54">
        <v>7</v>
      </c>
    </row>
    <row r="25" spans="1:21">
      <c r="A25" s="1">
        <v>41091</v>
      </c>
      <c r="B25" s="6">
        <v>8</v>
      </c>
      <c r="C25" s="6">
        <v>5</v>
      </c>
      <c r="D25" s="42">
        <f t="shared" si="0"/>
        <v>13</v>
      </c>
      <c r="E25" s="3"/>
      <c r="F25" s="6">
        <f>HDD!B32</f>
        <v>22</v>
      </c>
    </row>
    <row r="26" spans="1:21">
      <c r="A26" s="1">
        <v>41122</v>
      </c>
      <c r="B26" s="6">
        <v>7</v>
      </c>
      <c r="C26" s="6">
        <v>6</v>
      </c>
      <c r="D26" s="42">
        <f t="shared" si="0"/>
        <v>13</v>
      </c>
      <c r="E26" s="3"/>
      <c r="F26" s="6">
        <f>HDD!B33</f>
        <v>0</v>
      </c>
      <c r="R26" s="53">
        <v>40506</v>
      </c>
      <c r="S26" s="53">
        <v>40539</v>
      </c>
      <c r="T26" s="54">
        <v>33</v>
      </c>
      <c r="U26" s="54">
        <v>77</v>
      </c>
    </row>
    <row r="27" spans="1:21">
      <c r="B27" s="6"/>
      <c r="C27" s="6"/>
      <c r="D27" s="42">
        <f t="shared" si="0"/>
        <v>0</v>
      </c>
      <c r="F27" s="6">
        <f>HDD!B34</f>
        <v>0</v>
      </c>
      <c r="R27" s="53">
        <v>40539</v>
      </c>
      <c r="S27" s="53">
        <v>40569</v>
      </c>
      <c r="T27" s="54">
        <v>30</v>
      </c>
      <c r="U27" s="54">
        <v>77</v>
      </c>
    </row>
    <row r="28" spans="1:21">
      <c r="R28" s="53">
        <v>40569</v>
      </c>
      <c r="S28" s="53">
        <v>40598</v>
      </c>
      <c r="T28" s="54">
        <v>29</v>
      </c>
      <c r="U28" s="54">
        <v>52</v>
      </c>
    </row>
    <row r="29" spans="1:21">
      <c r="R29" s="53">
        <v>40598</v>
      </c>
      <c r="S29" s="53">
        <v>40630</v>
      </c>
      <c r="T29" s="54">
        <v>32</v>
      </c>
      <c r="U29" s="54">
        <v>49</v>
      </c>
    </row>
    <row r="30" spans="1:21">
      <c r="R30" s="53">
        <v>40630</v>
      </c>
      <c r="S30" s="53">
        <v>40660</v>
      </c>
      <c r="T30" s="54">
        <v>30</v>
      </c>
      <c r="U30" s="54">
        <v>33</v>
      </c>
    </row>
    <row r="31" spans="1:21">
      <c r="R31" s="53">
        <v>40660</v>
      </c>
      <c r="S31" s="53">
        <v>40688</v>
      </c>
      <c r="T31" s="54">
        <v>28</v>
      </c>
      <c r="U31" s="54">
        <v>20</v>
      </c>
    </row>
    <row r="32" spans="1:21">
      <c r="R32" s="53">
        <v>40688</v>
      </c>
      <c r="S32" s="53">
        <v>40721</v>
      </c>
      <c r="T32" s="54">
        <v>33</v>
      </c>
      <c r="U32" s="54">
        <v>14</v>
      </c>
    </row>
    <row r="33" spans="18:21">
      <c r="R33" s="53">
        <v>40721</v>
      </c>
      <c r="S33" s="53">
        <v>40784</v>
      </c>
      <c r="T33" s="54">
        <v>63</v>
      </c>
      <c r="U33" s="54">
        <v>14</v>
      </c>
    </row>
    <row r="34" spans="18:21">
      <c r="R34" s="53">
        <v>40784</v>
      </c>
      <c r="S34" s="53">
        <v>40812</v>
      </c>
      <c r="T34" s="54">
        <v>28</v>
      </c>
      <c r="U34" s="54">
        <v>6</v>
      </c>
    </row>
    <row r="35" spans="18:21">
      <c r="R35" s="53">
        <v>40812</v>
      </c>
      <c r="S35" s="53">
        <v>40842</v>
      </c>
      <c r="T35" s="54">
        <v>30</v>
      </c>
      <c r="U35" s="54">
        <v>14</v>
      </c>
    </row>
    <row r="36" spans="18:21">
      <c r="R36" s="53">
        <v>40842</v>
      </c>
      <c r="S36" s="53">
        <v>40876</v>
      </c>
      <c r="T36" s="54">
        <v>34</v>
      </c>
      <c r="U36" s="54">
        <v>42</v>
      </c>
    </row>
    <row r="37" spans="18:21">
      <c r="R37" s="53">
        <v>40876</v>
      </c>
      <c r="S37" s="53">
        <v>40904</v>
      </c>
      <c r="T37" s="54">
        <v>28</v>
      </c>
      <c r="U37" s="54">
        <v>45</v>
      </c>
    </row>
    <row r="38" spans="18:21">
      <c r="R38" s="53">
        <v>40904</v>
      </c>
      <c r="S38" s="53">
        <v>40934</v>
      </c>
      <c r="T38" s="54">
        <v>30</v>
      </c>
      <c r="U38" s="54">
        <v>65</v>
      </c>
    </row>
    <row r="39" spans="18:21">
      <c r="R39" s="53">
        <v>40934</v>
      </c>
      <c r="S39" s="53">
        <v>40966</v>
      </c>
      <c r="T39" s="54">
        <v>32</v>
      </c>
      <c r="U39" s="54">
        <v>62</v>
      </c>
    </row>
    <row r="40" spans="18:21">
      <c r="R40" s="53">
        <v>40966</v>
      </c>
      <c r="S40" s="53">
        <v>40995</v>
      </c>
      <c r="T40" s="54">
        <v>29</v>
      </c>
      <c r="U40" s="54">
        <v>37</v>
      </c>
    </row>
    <row r="41" spans="18:21">
      <c r="R41" s="53">
        <v>40995</v>
      </c>
      <c r="S41" s="53">
        <v>41026</v>
      </c>
      <c r="T41" s="54">
        <v>31</v>
      </c>
      <c r="U41" s="54">
        <v>27</v>
      </c>
    </row>
    <row r="42" spans="18:21">
      <c r="R42" s="53">
        <v>41026</v>
      </c>
      <c r="S42" s="53">
        <v>41058</v>
      </c>
      <c r="T42" s="54">
        <v>32</v>
      </c>
      <c r="U42" s="54">
        <v>17</v>
      </c>
    </row>
    <row r="43" spans="18:21">
      <c r="R43" s="53">
        <v>41058</v>
      </c>
      <c r="S43" s="53">
        <v>41086</v>
      </c>
      <c r="T43" s="54">
        <v>28</v>
      </c>
      <c r="U43" s="54">
        <v>7</v>
      </c>
    </row>
    <row r="44" spans="18:21">
      <c r="R44" s="53">
        <v>41086</v>
      </c>
      <c r="S44" s="53">
        <v>41117</v>
      </c>
      <c r="T44" s="54">
        <v>31</v>
      </c>
      <c r="U44" s="54">
        <v>5</v>
      </c>
    </row>
    <row r="45" spans="18:21">
      <c r="R45" s="53">
        <v>41117</v>
      </c>
      <c r="S45" s="53">
        <v>41149</v>
      </c>
      <c r="T45" s="54">
        <v>32</v>
      </c>
      <c r="U45" s="54">
        <v>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D25" sqref="D25"/>
    </sheetView>
  </sheetViews>
  <sheetFormatPr defaultRowHeight="15"/>
  <cols>
    <col min="2" max="2" width="9.85546875" customWidth="1"/>
    <col min="4" max="4" width="15.28515625" customWidth="1"/>
    <col min="5" max="5" width="11.42578125" customWidth="1"/>
  </cols>
  <sheetData>
    <row r="1" spans="1:8">
      <c r="B1" s="19" t="s">
        <v>41</v>
      </c>
    </row>
    <row r="3" spans="1:8">
      <c r="B3" s="19" t="s">
        <v>69</v>
      </c>
    </row>
    <row r="4" spans="1:8">
      <c r="B4" s="111" t="s">
        <v>2</v>
      </c>
      <c r="C4" s="111"/>
      <c r="E4" t="s">
        <v>3</v>
      </c>
    </row>
    <row r="5" spans="1:8">
      <c r="B5" s="19" t="s">
        <v>38</v>
      </c>
      <c r="C5" s="19" t="s">
        <v>39</v>
      </c>
      <c r="D5" t="s">
        <v>4</v>
      </c>
      <c r="E5" t="s">
        <v>5</v>
      </c>
      <c r="F5" t="s">
        <v>1</v>
      </c>
      <c r="G5" t="s">
        <v>6</v>
      </c>
    </row>
    <row r="6" spans="1:8">
      <c r="A6" s="1" t="s">
        <v>43</v>
      </c>
    </row>
    <row r="7" spans="1:8">
      <c r="A7" s="1">
        <v>40544</v>
      </c>
      <c r="B7" s="4"/>
      <c r="C7" s="5"/>
      <c r="D7" s="30">
        <f>SUM(B7+C7-E7)</f>
        <v>0</v>
      </c>
      <c r="E7" s="7"/>
      <c r="F7">
        <f>HDD!B14</f>
        <v>1298</v>
      </c>
      <c r="G7">
        <f>CDD!B14</f>
        <v>0</v>
      </c>
    </row>
    <row r="8" spans="1:8">
      <c r="A8" s="1">
        <v>40575</v>
      </c>
      <c r="B8" s="4"/>
      <c r="C8" s="5"/>
      <c r="D8" s="30">
        <f t="shared" ref="D8:D12" si="0">SUM(B8+C8)</f>
        <v>0</v>
      </c>
      <c r="E8" s="7"/>
      <c r="F8" s="11">
        <f>HDD!B15</f>
        <v>1070</v>
      </c>
      <c r="G8" s="11">
        <f>CDD!B15</f>
        <v>0</v>
      </c>
    </row>
    <row r="9" spans="1:8">
      <c r="A9" s="1">
        <v>40603</v>
      </c>
      <c r="B9" s="4"/>
      <c r="C9" s="5"/>
      <c r="D9" s="30">
        <f t="shared" si="0"/>
        <v>0</v>
      </c>
      <c r="E9" s="7"/>
      <c r="F9" s="11">
        <f>HDD!B16</f>
        <v>885</v>
      </c>
      <c r="G9" s="11">
        <f>CDD!B16</f>
        <v>0</v>
      </c>
      <c r="H9" s="19" t="s">
        <v>40</v>
      </c>
    </row>
    <row r="10" spans="1:8">
      <c r="A10" s="1">
        <v>40634</v>
      </c>
      <c r="B10" s="4"/>
      <c r="C10" s="5"/>
      <c r="D10" s="30">
        <f t="shared" si="0"/>
        <v>0</v>
      </c>
      <c r="E10" s="7"/>
      <c r="F10" s="11">
        <f>HDD!B17</f>
        <v>502</v>
      </c>
      <c r="G10" s="11">
        <f>CDD!B17</f>
        <v>12</v>
      </c>
    </row>
    <row r="11" spans="1:8">
      <c r="A11" s="1">
        <v>40664</v>
      </c>
      <c r="B11" s="4"/>
      <c r="C11" s="5"/>
      <c r="D11" s="30">
        <f t="shared" si="0"/>
        <v>0</v>
      </c>
      <c r="E11" s="7"/>
      <c r="F11" s="11">
        <f>HDD!B18</f>
        <v>268</v>
      </c>
      <c r="G11" s="11">
        <f>CDD!B18</f>
        <v>63</v>
      </c>
    </row>
    <row r="12" spans="1:8">
      <c r="A12" s="1">
        <v>40695</v>
      </c>
      <c r="B12" s="4"/>
      <c r="C12" s="5"/>
      <c r="D12" s="30">
        <f t="shared" si="0"/>
        <v>0</v>
      </c>
      <c r="E12" s="7"/>
      <c r="F12" s="11">
        <f>HDD!B19</f>
        <v>113</v>
      </c>
      <c r="G12" s="11">
        <f>CDD!B19</f>
        <v>122</v>
      </c>
    </row>
    <row r="13" spans="1:8">
      <c r="A13" s="1">
        <v>40731</v>
      </c>
      <c r="B13" s="29">
        <v>329</v>
      </c>
      <c r="C13" s="29">
        <v>703</v>
      </c>
      <c r="D13" s="30">
        <f>B13+C13-E13</f>
        <v>1032</v>
      </c>
      <c r="E13" s="23"/>
      <c r="F13" s="19">
        <f>HDD!B20</f>
        <v>20</v>
      </c>
      <c r="G13" s="19">
        <f>CDD!B20</f>
        <v>309</v>
      </c>
    </row>
    <row r="14" spans="1:8">
      <c r="A14" s="1">
        <v>40764</v>
      </c>
      <c r="B14" s="29">
        <v>410</v>
      </c>
      <c r="C14" s="29">
        <v>1815</v>
      </c>
      <c r="D14" s="30">
        <f t="shared" ref="D14:D25" si="1">B14+C14-E14</f>
        <v>2225</v>
      </c>
      <c r="E14" s="23"/>
      <c r="F14" s="19">
        <f>HDD!B21</f>
        <v>31</v>
      </c>
      <c r="G14" s="19">
        <f>CDD!B21</f>
        <v>202</v>
      </c>
    </row>
    <row r="15" spans="1:8">
      <c r="A15" s="1">
        <v>40794</v>
      </c>
      <c r="B15" s="29">
        <v>323</v>
      </c>
      <c r="C15" s="29">
        <v>1506</v>
      </c>
      <c r="D15" s="30">
        <f t="shared" si="1"/>
        <v>1829</v>
      </c>
      <c r="E15" s="23"/>
      <c r="F15" s="19">
        <f>HDD!B22</f>
        <v>108</v>
      </c>
      <c r="G15" s="19">
        <f>CDD!B22</f>
        <v>105</v>
      </c>
    </row>
    <row r="16" spans="1:8">
      <c r="A16" s="1">
        <v>40823</v>
      </c>
      <c r="B16" s="29">
        <v>335</v>
      </c>
      <c r="C16" s="29">
        <v>969</v>
      </c>
      <c r="D16" s="30">
        <f t="shared" si="1"/>
        <v>1304</v>
      </c>
      <c r="E16" s="23"/>
      <c r="F16" s="19">
        <f>HDD!B23</f>
        <v>418</v>
      </c>
      <c r="G16" s="19">
        <f>CDD!B23</f>
        <v>15</v>
      </c>
    </row>
    <row r="17" spans="1:8">
      <c r="A17" s="1">
        <v>40855</v>
      </c>
      <c r="B17" s="29">
        <v>362</v>
      </c>
      <c r="C17" s="29">
        <v>692</v>
      </c>
      <c r="D17" s="30">
        <f t="shared" si="1"/>
        <v>1054</v>
      </c>
      <c r="E17" s="23"/>
      <c r="F17" s="19">
        <f>HDD!B24</f>
        <v>563</v>
      </c>
      <c r="G17" s="19">
        <f>CDD!B24</f>
        <v>2</v>
      </c>
    </row>
    <row r="18" spans="1:8">
      <c r="A18" s="1">
        <v>40885</v>
      </c>
      <c r="B18" s="29">
        <v>329</v>
      </c>
      <c r="C18" s="29">
        <v>541</v>
      </c>
      <c r="D18" s="30">
        <f t="shared" si="1"/>
        <v>870</v>
      </c>
      <c r="E18" s="23"/>
      <c r="F18" s="19">
        <f>HDD!B25</f>
        <v>882</v>
      </c>
      <c r="G18" s="19">
        <f>CDD!B25</f>
        <v>0</v>
      </c>
    </row>
    <row r="19" spans="1:8">
      <c r="A19" s="1">
        <v>40918</v>
      </c>
      <c r="B19" s="29">
        <v>358</v>
      </c>
      <c r="C19" s="29">
        <v>779</v>
      </c>
      <c r="D19" s="30">
        <f t="shared" si="1"/>
        <v>1137</v>
      </c>
      <c r="E19" s="23"/>
      <c r="F19" s="19">
        <f>HDD!B26</f>
        <v>1053</v>
      </c>
      <c r="G19" s="19">
        <f>CDD!B26</f>
        <v>0</v>
      </c>
    </row>
    <row r="20" spans="1:8">
      <c r="A20" s="1">
        <v>40947</v>
      </c>
      <c r="B20" s="29">
        <v>314</v>
      </c>
      <c r="C20" s="29">
        <v>609</v>
      </c>
      <c r="D20" s="30">
        <f t="shared" si="1"/>
        <v>923</v>
      </c>
      <c r="E20" s="23"/>
      <c r="F20" s="19">
        <f>HDD!B27</f>
        <v>895</v>
      </c>
      <c r="G20" s="19">
        <f>CDD!B27</f>
        <v>0</v>
      </c>
    </row>
    <row r="21" spans="1:8">
      <c r="A21" s="1">
        <v>40977</v>
      </c>
      <c r="B21" s="29">
        <v>292</v>
      </c>
      <c r="C21" s="29">
        <v>536</v>
      </c>
      <c r="D21" s="30">
        <f t="shared" si="1"/>
        <v>828</v>
      </c>
      <c r="E21" s="23"/>
      <c r="F21" s="19">
        <f>HDD!B28</f>
        <v>652</v>
      </c>
      <c r="G21" s="19">
        <f>CDD!B28</f>
        <v>23</v>
      </c>
    </row>
    <row r="22" spans="1:8">
      <c r="A22" s="1">
        <v>41005</v>
      </c>
      <c r="B22" s="29">
        <v>301</v>
      </c>
      <c r="C22" s="29">
        <v>511</v>
      </c>
      <c r="D22" s="30">
        <f t="shared" si="1"/>
        <v>812</v>
      </c>
      <c r="E22" s="23"/>
      <c r="F22" s="19">
        <f>HDD!B29</f>
        <v>463</v>
      </c>
      <c r="G22" s="19">
        <f>CDD!B29</f>
        <v>26</v>
      </c>
    </row>
    <row r="23" spans="1:8">
      <c r="A23" s="1">
        <v>41038</v>
      </c>
      <c r="B23" s="29">
        <v>338</v>
      </c>
      <c r="C23" s="29">
        <v>540</v>
      </c>
      <c r="D23" s="30">
        <f t="shared" si="1"/>
        <v>878</v>
      </c>
      <c r="E23" s="23"/>
      <c r="F23" s="19">
        <f>HDD!B30</f>
        <v>208</v>
      </c>
      <c r="G23" s="19">
        <f>CDD!B30</f>
        <v>60</v>
      </c>
    </row>
    <row r="24" spans="1:8">
      <c r="A24" s="1">
        <v>41068</v>
      </c>
      <c r="B24" s="29">
        <v>285</v>
      </c>
      <c r="C24" s="29">
        <v>661</v>
      </c>
      <c r="D24" s="30">
        <f t="shared" si="1"/>
        <v>946</v>
      </c>
      <c r="E24" s="25"/>
      <c r="F24" s="19">
        <f>HDD!B31</f>
        <v>121</v>
      </c>
      <c r="G24" s="19">
        <f>CDD!B31</f>
        <v>128</v>
      </c>
      <c r="H24" s="19" t="s">
        <v>42</v>
      </c>
    </row>
    <row r="25" spans="1:8">
      <c r="A25" s="1">
        <v>41100</v>
      </c>
      <c r="B25" s="8">
        <v>302</v>
      </c>
      <c r="C25" s="8">
        <v>1088</v>
      </c>
      <c r="D25" s="30">
        <f t="shared" si="1"/>
        <v>1390</v>
      </c>
      <c r="E25" s="24"/>
      <c r="F25" s="19">
        <f>HDD!B32</f>
        <v>22</v>
      </c>
      <c r="G25" s="19">
        <f>CDD!B32</f>
        <v>291</v>
      </c>
    </row>
    <row r="26" spans="1:8">
      <c r="A26" s="1">
        <v>41122</v>
      </c>
      <c r="B26" s="22"/>
      <c r="C26" s="22"/>
      <c r="D26" s="30" t="e">
        <f>#REF!-E26</f>
        <v>#REF!</v>
      </c>
      <c r="E26" s="22"/>
    </row>
    <row r="31" spans="1:8" s="19" customFormat="1"/>
    <row r="32" spans="1:8" s="19" customFormat="1"/>
  </sheetData>
  <mergeCells count="1">
    <mergeCell ref="B4:C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43"/>
  <sheetViews>
    <sheetView tabSelected="1" topLeftCell="E27" workbookViewId="0">
      <selection activeCell="S57" sqref="S57"/>
    </sheetView>
  </sheetViews>
  <sheetFormatPr defaultRowHeight="15"/>
  <cols>
    <col min="8" max="9" width="9.140625" style="19"/>
    <col min="17" max="17" width="9.140625" style="19"/>
    <col min="24" max="24" width="9.140625" style="19"/>
  </cols>
  <sheetData>
    <row r="1" spans="2:26">
      <c r="C1" s="19" t="s">
        <v>28</v>
      </c>
      <c r="E1" s="28">
        <f>1/E3</f>
        <v>292.99736302373282</v>
      </c>
    </row>
    <row r="2" spans="2:26">
      <c r="C2" s="19" t="s">
        <v>25</v>
      </c>
      <c r="E2" s="26">
        <f>100000/1000000</f>
        <v>0.1</v>
      </c>
    </row>
    <row r="3" spans="2:26">
      <c r="C3" s="19" t="s">
        <v>24</v>
      </c>
      <c r="E3">
        <f>3413/1000000</f>
        <v>3.4129999999999998E-3</v>
      </c>
    </row>
    <row r="4" spans="2:26">
      <c r="B4" s="19" t="s">
        <v>27</v>
      </c>
      <c r="E4">
        <v>3.34</v>
      </c>
    </row>
    <row r="5" spans="2:26">
      <c r="B5" s="19" t="s">
        <v>26</v>
      </c>
      <c r="E5">
        <v>1.0469999999999999</v>
      </c>
    </row>
    <row r="6" spans="2:26">
      <c r="V6" s="19" t="s">
        <v>31</v>
      </c>
      <c r="Y6" s="19" t="s">
        <v>34</v>
      </c>
    </row>
    <row r="7" spans="2:26">
      <c r="J7" s="19"/>
      <c r="K7" s="111" t="s">
        <v>2</v>
      </c>
      <c r="L7" s="111"/>
      <c r="M7" s="19" t="s">
        <v>29</v>
      </c>
      <c r="N7" s="19"/>
      <c r="O7" s="19" t="s">
        <v>30</v>
      </c>
      <c r="Q7" s="19" t="s">
        <v>21</v>
      </c>
      <c r="R7" s="19" t="s">
        <v>22</v>
      </c>
    </row>
    <row r="8" spans="2:26">
      <c r="B8" s="19"/>
      <c r="C8" s="19" t="s">
        <v>0</v>
      </c>
      <c r="D8" s="19" t="s">
        <v>21</v>
      </c>
      <c r="E8" s="19" t="s">
        <v>22</v>
      </c>
      <c r="G8" s="19" t="s">
        <v>20</v>
      </c>
      <c r="H8" s="19" t="s">
        <v>23</v>
      </c>
      <c r="J8" s="19"/>
      <c r="K8" s="7" t="str">
        <f>Elec!B5</f>
        <v>Apt 1</v>
      </c>
      <c r="L8" s="7" t="str">
        <f>Elec!C5</f>
        <v>Apt 2</v>
      </c>
      <c r="M8" s="19" t="s">
        <v>4</v>
      </c>
      <c r="S8" s="19" t="s">
        <v>1</v>
      </c>
      <c r="T8" s="19" t="s">
        <v>6</v>
      </c>
      <c r="V8" s="19" t="s">
        <v>32</v>
      </c>
      <c r="W8" s="19" t="s">
        <v>33</v>
      </c>
      <c r="Y8" s="19" t="s">
        <v>32</v>
      </c>
      <c r="Z8" s="19" t="s">
        <v>33</v>
      </c>
    </row>
    <row r="9" spans="2:26">
      <c r="J9" s="1"/>
      <c r="K9" s="19"/>
      <c r="L9" s="19"/>
      <c r="M9" s="19"/>
      <c r="S9" s="19"/>
      <c r="T9" s="19"/>
    </row>
    <row r="10" spans="2:26">
      <c r="B10" s="1">
        <v>40544</v>
      </c>
      <c r="C10" s="8">
        <f>Gas!D7</f>
        <v>144</v>
      </c>
      <c r="D10" s="52">
        <f>C10*E$2</f>
        <v>14.4</v>
      </c>
      <c r="E10" s="28">
        <f t="shared" ref="E10:E28" si="0">D10*E$5</f>
        <v>15.076799999999999</v>
      </c>
      <c r="G10" s="28">
        <f t="shared" ref="G10:G28" si="1">D10*E$1</f>
        <v>4219.1620275417526</v>
      </c>
      <c r="H10" s="28">
        <f t="shared" ref="H10:H28" si="2">E10*E$1</f>
        <v>4417.4626428362144</v>
      </c>
      <c r="I10" s="28"/>
      <c r="J10" s="1">
        <v>40544</v>
      </c>
      <c r="K10" s="29">
        <f>Elec!B7</f>
        <v>0</v>
      </c>
      <c r="L10" s="29">
        <f>Elec!C7</f>
        <v>0</v>
      </c>
      <c r="M10" s="52">
        <f>Elec!D7</f>
        <v>0</v>
      </c>
      <c r="O10" s="28">
        <f>M10*E$4</f>
        <v>0</v>
      </c>
      <c r="Q10" s="28">
        <f t="shared" ref="Q10:Q28" si="3">M10*E$3</f>
        <v>0</v>
      </c>
      <c r="R10" s="28">
        <f>O10*E$3</f>
        <v>0</v>
      </c>
      <c r="S10" s="19">
        <f>HDD!B14</f>
        <v>1298</v>
      </c>
      <c r="T10" s="19">
        <f>CDD!B14</f>
        <v>0</v>
      </c>
      <c r="V10" s="28">
        <f t="shared" ref="V10:V28" si="4">G10+M10</f>
        <v>4219.1620275417526</v>
      </c>
      <c r="W10" s="28">
        <f>H10+O10</f>
        <v>4417.4626428362144</v>
      </c>
      <c r="X10" s="28"/>
      <c r="Y10" s="28">
        <f>D10+Q10</f>
        <v>14.4</v>
      </c>
      <c r="Z10" s="28">
        <f>E10+R10</f>
        <v>15.076799999999999</v>
      </c>
    </row>
    <row r="11" spans="2:26">
      <c r="B11" s="1">
        <v>40575</v>
      </c>
      <c r="C11" s="8">
        <f>Gas!D8</f>
        <v>87</v>
      </c>
      <c r="D11" s="52">
        <f t="shared" ref="D11:D28" si="5">C11*E$2</f>
        <v>8.7000000000000011</v>
      </c>
      <c r="E11" s="28">
        <f t="shared" si="0"/>
        <v>9.1089000000000002</v>
      </c>
      <c r="G11" s="28">
        <f t="shared" si="1"/>
        <v>2549.0770583064759</v>
      </c>
      <c r="H11" s="28">
        <f t="shared" si="2"/>
        <v>2668.8836800468798</v>
      </c>
      <c r="I11" s="28"/>
      <c r="J11" s="1">
        <v>40575</v>
      </c>
      <c r="K11" s="29">
        <f>Elec!B8</f>
        <v>0</v>
      </c>
      <c r="L11" s="29">
        <f>Elec!C8</f>
        <v>0</v>
      </c>
      <c r="M11" s="52">
        <f>Elec!D8</f>
        <v>0</v>
      </c>
      <c r="O11" s="28">
        <f t="shared" ref="O11:O28" si="6">M11*E$4</f>
        <v>0</v>
      </c>
      <c r="Q11" s="28">
        <f t="shared" si="3"/>
        <v>0</v>
      </c>
      <c r="R11" s="28">
        <f>O11*E$3</f>
        <v>0</v>
      </c>
      <c r="S11" s="19">
        <f>HDD!B15</f>
        <v>1070</v>
      </c>
      <c r="T11" s="19">
        <f>CDD!B15</f>
        <v>0</v>
      </c>
      <c r="V11" s="28">
        <f t="shared" si="4"/>
        <v>2549.0770583064759</v>
      </c>
      <c r="W11" s="28">
        <f>H11+O11</f>
        <v>2668.8836800468798</v>
      </c>
      <c r="X11" s="28"/>
      <c r="Y11" s="28">
        <f>D11+Q11</f>
        <v>8.7000000000000011</v>
      </c>
      <c r="Z11" s="28">
        <f>E11+R11</f>
        <v>9.1089000000000002</v>
      </c>
    </row>
    <row r="12" spans="2:26">
      <c r="B12" s="1">
        <v>40603</v>
      </c>
      <c r="C12" s="8">
        <f>Gas!D9</f>
        <v>76</v>
      </c>
      <c r="D12" s="52">
        <f t="shared" si="5"/>
        <v>7.6000000000000005</v>
      </c>
      <c r="E12" s="28">
        <f t="shared" si="0"/>
        <v>7.9572000000000003</v>
      </c>
      <c r="G12" s="28">
        <f t="shared" si="1"/>
        <v>2226.7799589803694</v>
      </c>
      <c r="H12" s="28">
        <f t="shared" si="2"/>
        <v>2331.4386170524467</v>
      </c>
      <c r="I12" s="28"/>
      <c r="J12" s="1">
        <v>40603</v>
      </c>
      <c r="K12" s="29">
        <f>Elec!B9</f>
        <v>0</v>
      </c>
      <c r="L12" s="29">
        <f>Elec!C9</f>
        <v>0</v>
      </c>
      <c r="M12" s="52">
        <f>Elec!D9</f>
        <v>0</v>
      </c>
      <c r="O12" s="28">
        <f t="shared" si="6"/>
        <v>0</v>
      </c>
      <c r="Q12" s="28">
        <f t="shared" si="3"/>
        <v>0</v>
      </c>
      <c r="R12" s="28">
        <f>O12*E$3</f>
        <v>0</v>
      </c>
      <c r="S12" s="19">
        <f>HDD!B16</f>
        <v>885</v>
      </c>
      <c r="T12" s="19">
        <f>CDD!B16</f>
        <v>0</v>
      </c>
      <c r="V12" s="28">
        <f t="shared" si="4"/>
        <v>2226.7799589803694</v>
      </c>
      <c r="W12" s="28">
        <f>H12+O12</f>
        <v>2331.4386170524467</v>
      </c>
      <c r="X12" s="28"/>
      <c r="Y12" s="28">
        <f>D12+Q12</f>
        <v>7.6000000000000005</v>
      </c>
      <c r="Z12" s="28">
        <f>E12+R12</f>
        <v>7.9572000000000003</v>
      </c>
    </row>
    <row r="13" spans="2:26">
      <c r="B13" s="1">
        <v>40634</v>
      </c>
      <c r="C13" s="8">
        <f>Gas!D10</f>
        <v>44</v>
      </c>
      <c r="D13" s="52">
        <f t="shared" si="5"/>
        <v>4.4000000000000004</v>
      </c>
      <c r="E13" s="28">
        <f t="shared" si="0"/>
        <v>4.6067999999999998</v>
      </c>
      <c r="G13" s="28">
        <f t="shared" si="1"/>
        <v>1289.1883973044246</v>
      </c>
      <c r="H13" s="28">
        <f t="shared" si="2"/>
        <v>1349.7802519777322</v>
      </c>
      <c r="I13" s="28"/>
      <c r="J13" s="1">
        <v>40634</v>
      </c>
      <c r="K13" s="29">
        <f>Elec!B10</f>
        <v>0</v>
      </c>
      <c r="L13" s="29">
        <f>Elec!C10</f>
        <v>0</v>
      </c>
      <c r="M13" s="52">
        <f>Elec!D10</f>
        <v>0</v>
      </c>
      <c r="O13" s="28">
        <f t="shared" si="6"/>
        <v>0</v>
      </c>
      <c r="Q13" s="28">
        <f t="shared" si="3"/>
        <v>0</v>
      </c>
      <c r="R13" s="28">
        <f>O13*E$3</f>
        <v>0</v>
      </c>
      <c r="S13" s="19">
        <f>HDD!B17</f>
        <v>502</v>
      </c>
      <c r="T13" s="19">
        <f>CDD!B17</f>
        <v>12</v>
      </c>
      <c r="V13" s="45">
        <f t="shared" si="4"/>
        <v>1289.1883973044246</v>
      </c>
      <c r="W13" s="46">
        <f>H13+O13</f>
        <v>1349.7802519777322</v>
      </c>
      <c r="X13" s="46"/>
      <c r="Y13" s="46">
        <f>D13+Q13</f>
        <v>4.4000000000000004</v>
      </c>
      <c r="Z13" s="47">
        <f>E13+R13</f>
        <v>4.6067999999999998</v>
      </c>
    </row>
    <row r="14" spans="2:26">
      <c r="B14" s="1">
        <v>40664</v>
      </c>
      <c r="C14" s="8">
        <f>Gas!D11</f>
        <v>31</v>
      </c>
      <c r="D14" s="52">
        <f t="shared" si="5"/>
        <v>3.1</v>
      </c>
      <c r="E14" s="28">
        <f t="shared" si="0"/>
        <v>3.2456999999999998</v>
      </c>
      <c r="G14" s="28">
        <f t="shared" si="1"/>
        <v>908.29182537357178</v>
      </c>
      <c r="H14" s="28">
        <f t="shared" si="2"/>
        <v>950.98154116612955</v>
      </c>
      <c r="I14" s="28"/>
      <c r="J14" s="1">
        <v>40664</v>
      </c>
      <c r="K14" s="29">
        <f>Elec!B11</f>
        <v>0</v>
      </c>
      <c r="L14" s="29">
        <f>Elec!C11</f>
        <v>0</v>
      </c>
      <c r="M14" s="52">
        <f>Elec!D11</f>
        <v>0</v>
      </c>
      <c r="O14" s="28">
        <f t="shared" si="6"/>
        <v>0</v>
      </c>
      <c r="Q14" s="28">
        <f t="shared" si="3"/>
        <v>0</v>
      </c>
      <c r="R14" s="28">
        <f>O14*E$3</f>
        <v>0</v>
      </c>
      <c r="S14" s="19">
        <f>HDD!B18</f>
        <v>268</v>
      </c>
      <c r="T14" s="19">
        <f>CDD!B18</f>
        <v>63</v>
      </c>
      <c r="V14" s="48">
        <f t="shared" si="4"/>
        <v>908.29182537357178</v>
      </c>
      <c r="W14" s="43">
        <f>H14+O14</f>
        <v>950.98154116612955</v>
      </c>
      <c r="X14" s="43"/>
      <c r="Y14" s="43">
        <f>D14+Q14</f>
        <v>3.1</v>
      </c>
      <c r="Z14" s="49">
        <f>E14+R14</f>
        <v>3.2456999999999998</v>
      </c>
    </row>
    <row r="15" spans="2:26">
      <c r="B15" s="1">
        <v>40695</v>
      </c>
      <c r="C15" s="8">
        <f>Gas!D12</f>
        <v>22</v>
      </c>
      <c r="D15" s="52">
        <f t="shared" si="5"/>
        <v>2.2000000000000002</v>
      </c>
      <c r="E15" s="28">
        <f t="shared" si="0"/>
        <v>2.3033999999999999</v>
      </c>
      <c r="G15" s="28">
        <f t="shared" si="1"/>
        <v>644.5941986522123</v>
      </c>
      <c r="H15" s="28">
        <f t="shared" si="2"/>
        <v>674.89012598886609</v>
      </c>
      <c r="I15" s="28"/>
      <c r="J15" s="1">
        <v>40695</v>
      </c>
      <c r="K15" s="29">
        <f>Elec!B12</f>
        <v>0</v>
      </c>
      <c r="L15" s="29">
        <f>Elec!C12</f>
        <v>0</v>
      </c>
      <c r="M15" s="52">
        <f>Elec!D12</f>
        <v>0</v>
      </c>
      <c r="O15" s="28">
        <f t="shared" si="6"/>
        <v>0</v>
      </c>
      <c r="Q15" s="28">
        <f t="shared" si="3"/>
        <v>0</v>
      </c>
      <c r="R15" s="28">
        <f>O15*E$3</f>
        <v>0</v>
      </c>
      <c r="S15" s="19">
        <f>HDD!B19</f>
        <v>113</v>
      </c>
      <c r="T15" s="19">
        <f>CDD!B19</f>
        <v>122</v>
      </c>
      <c r="V15" s="48">
        <f t="shared" si="4"/>
        <v>644.5941986522123</v>
      </c>
      <c r="W15" s="43">
        <f>H15+O15</f>
        <v>674.89012598886609</v>
      </c>
      <c r="X15" s="43"/>
      <c r="Y15" s="43">
        <f>D15+Q15</f>
        <v>2.2000000000000002</v>
      </c>
      <c r="Z15" s="49">
        <f>E15+R15</f>
        <v>2.3033999999999999</v>
      </c>
    </row>
    <row r="16" spans="2:26">
      <c r="B16" s="1">
        <v>40735</v>
      </c>
      <c r="C16" s="8">
        <f>Gas!D13</f>
        <v>14</v>
      </c>
      <c r="D16" s="52">
        <f t="shared" si="5"/>
        <v>1.4000000000000001</v>
      </c>
      <c r="E16" s="28">
        <f t="shared" si="0"/>
        <v>1.4658</v>
      </c>
      <c r="G16" s="28">
        <f t="shared" si="1"/>
        <v>410.19630823322598</v>
      </c>
      <c r="H16" s="28">
        <f t="shared" si="2"/>
        <v>429.47553472018757</v>
      </c>
      <c r="I16" s="28"/>
      <c r="J16" s="1">
        <v>40725</v>
      </c>
      <c r="K16" s="29">
        <f>Elec!B13</f>
        <v>329</v>
      </c>
      <c r="L16" s="29">
        <f>Elec!C13</f>
        <v>703</v>
      </c>
      <c r="M16" s="52">
        <f>Elec!D13</f>
        <v>1032</v>
      </c>
      <c r="O16" s="28">
        <f t="shared" si="6"/>
        <v>3446.8799999999997</v>
      </c>
      <c r="Q16" s="28">
        <f t="shared" si="3"/>
        <v>3.5222159999999998</v>
      </c>
      <c r="R16" s="28">
        <f>O16*E$3</f>
        <v>11.764201439999999</v>
      </c>
      <c r="S16" s="19">
        <f>HDD!B20</f>
        <v>20</v>
      </c>
      <c r="T16" s="19">
        <f>CDD!B20</f>
        <v>309</v>
      </c>
      <c r="V16" s="48">
        <f t="shared" si="4"/>
        <v>1442.1963082332259</v>
      </c>
      <c r="W16" s="43">
        <f>H16+O16</f>
        <v>3876.3555347201873</v>
      </c>
      <c r="X16" s="43"/>
      <c r="Y16" s="43">
        <f>D16+Q16</f>
        <v>4.9222159999999997</v>
      </c>
      <c r="Z16" s="49">
        <f>E16+R16</f>
        <v>13.230001439999999</v>
      </c>
    </row>
    <row r="17" spans="1:26">
      <c r="B17" s="1">
        <v>40766</v>
      </c>
      <c r="C17" s="8">
        <f>Gas!D14</f>
        <v>16</v>
      </c>
      <c r="D17" s="52">
        <f t="shared" si="5"/>
        <v>1.6</v>
      </c>
      <c r="E17" s="28">
        <f t="shared" si="0"/>
        <v>1.6752</v>
      </c>
      <c r="G17" s="28">
        <f t="shared" si="1"/>
        <v>468.79578083797253</v>
      </c>
      <c r="H17" s="28">
        <f t="shared" si="2"/>
        <v>490.82918253735721</v>
      </c>
      <c r="I17" s="28"/>
      <c r="J17" s="1">
        <v>40756</v>
      </c>
      <c r="K17" s="29">
        <f>Elec!B14</f>
        <v>410</v>
      </c>
      <c r="L17" s="29">
        <f>Elec!C14</f>
        <v>1815</v>
      </c>
      <c r="M17" s="52">
        <f>Elec!D14</f>
        <v>2225</v>
      </c>
      <c r="O17" s="28">
        <f t="shared" si="6"/>
        <v>7431.5</v>
      </c>
      <c r="Q17" s="28">
        <f t="shared" si="3"/>
        <v>7.5939249999999996</v>
      </c>
      <c r="R17" s="28">
        <f>O17*E$3</f>
        <v>25.363709499999999</v>
      </c>
      <c r="S17" s="19">
        <f>HDD!B21</f>
        <v>31</v>
      </c>
      <c r="T17" s="19">
        <f>CDD!B21</f>
        <v>202</v>
      </c>
      <c r="V17" s="48">
        <f t="shared" si="4"/>
        <v>2693.7957808379724</v>
      </c>
      <c r="W17" s="43">
        <f>H17+O17</f>
        <v>7922.3291825373572</v>
      </c>
      <c r="X17" s="43"/>
      <c r="Y17" s="43">
        <f>D17+Q17</f>
        <v>9.1939250000000001</v>
      </c>
      <c r="Z17" s="49">
        <f>E17+R17</f>
        <v>27.038909499999999</v>
      </c>
    </row>
    <row r="18" spans="1:26">
      <c r="B18" s="1">
        <v>40797</v>
      </c>
      <c r="C18" s="8">
        <f>Gas!D15</f>
        <v>14</v>
      </c>
      <c r="D18" s="52">
        <f t="shared" si="5"/>
        <v>1.4000000000000001</v>
      </c>
      <c r="E18" s="28">
        <f t="shared" si="0"/>
        <v>1.4658</v>
      </c>
      <c r="G18" s="28">
        <f t="shared" si="1"/>
        <v>410.19630823322598</v>
      </c>
      <c r="H18" s="28">
        <f t="shared" si="2"/>
        <v>429.47553472018757</v>
      </c>
      <c r="I18" s="28"/>
      <c r="J18" s="1">
        <v>40787</v>
      </c>
      <c r="K18" s="29">
        <f>Elec!B15</f>
        <v>323</v>
      </c>
      <c r="L18" s="29">
        <f>Elec!C15</f>
        <v>1506</v>
      </c>
      <c r="M18" s="52">
        <f>Elec!D15</f>
        <v>1829</v>
      </c>
      <c r="O18" s="28">
        <f t="shared" si="6"/>
        <v>6108.86</v>
      </c>
      <c r="Q18" s="28">
        <f t="shared" si="3"/>
        <v>6.2423769999999994</v>
      </c>
      <c r="R18" s="28">
        <f>O18*E$3</f>
        <v>20.849539179999997</v>
      </c>
      <c r="S18" s="19">
        <f>HDD!B22</f>
        <v>108</v>
      </c>
      <c r="T18" s="19">
        <f>CDD!B22</f>
        <v>105</v>
      </c>
      <c r="V18" s="48">
        <f t="shared" si="4"/>
        <v>2239.1963082332259</v>
      </c>
      <c r="W18" s="43">
        <f>H18+O18</f>
        <v>6538.3355347201868</v>
      </c>
      <c r="X18" s="43"/>
      <c r="Y18" s="43">
        <f>D18+Q18</f>
        <v>7.6423769999999998</v>
      </c>
      <c r="Z18" s="49">
        <f>E18+R18</f>
        <v>22.315339179999999</v>
      </c>
    </row>
    <row r="19" spans="1:26">
      <c r="B19" s="1">
        <v>40827</v>
      </c>
      <c r="C19" s="8">
        <f>Gas!D16</f>
        <v>24</v>
      </c>
      <c r="D19" s="52">
        <f t="shared" si="5"/>
        <v>2.4000000000000004</v>
      </c>
      <c r="E19" s="28">
        <f t="shared" si="0"/>
        <v>2.5128000000000004</v>
      </c>
      <c r="G19" s="28">
        <f t="shared" si="1"/>
        <v>703.19367125695885</v>
      </c>
      <c r="H19" s="28">
        <f t="shared" si="2"/>
        <v>736.24377380603596</v>
      </c>
      <c r="I19" s="28"/>
      <c r="J19" s="1">
        <v>40817</v>
      </c>
      <c r="K19" s="29">
        <f>Elec!B16</f>
        <v>335</v>
      </c>
      <c r="L19" s="29">
        <f>Elec!C16</f>
        <v>969</v>
      </c>
      <c r="M19" s="52">
        <f>Elec!D16</f>
        <v>1304</v>
      </c>
      <c r="O19" s="28">
        <f t="shared" si="6"/>
        <v>4355.3599999999997</v>
      </c>
      <c r="Q19" s="28">
        <f t="shared" si="3"/>
        <v>4.4505520000000001</v>
      </c>
      <c r="R19" s="28">
        <f>O19*E$3</f>
        <v>14.864843679999998</v>
      </c>
      <c r="S19" s="19">
        <f>HDD!B23</f>
        <v>418</v>
      </c>
      <c r="T19" s="19">
        <f>CDD!B23</f>
        <v>15</v>
      </c>
      <c r="V19" s="48">
        <f t="shared" si="4"/>
        <v>2007.1936712569589</v>
      </c>
      <c r="W19" s="43">
        <f>H19+O19</f>
        <v>5091.6037738060359</v>
      </c>
      <c r="X19" s="43"/>
      <c r="Y19" s="43">
        <f>D19+Q19</f>
        <v>6.8505520000000004</v>
      </c>
      <c r="Z19" s="49">
        <f>E19+R19</f>
        <v>17.377643679999998</v>
      </c>
    </row>
    <row r="20" spans="1:26">
      <c r="B20" s="1">
        <v>40858</v>
      </c>
      <c r="C20" s="8">
        <f>Gas!D17</f>
        <v>58</v>
      </c>
      <c r="D20" s="52">
        <f t="shared" si="5"/>
        <v>5.8000000000000007</v>
      </c>
      <c r="E20" s="28">
        <f t="shared" si="0"/>
        <v>6.0726000000000004</v>
      </c>
      <c r="G20" s="28">
        <f t="shared" si="1"/>
        <v>1699.3847055376505</v>
      </c>
      <c r="H20" s="28">
        <f t="shared" si="2"/>
        <v>1779.25578669792</v>
      </c>
      <c r="I20" s="28"/>
      <c r="J20" s="1">
        <v>40848</v>
      </c>
      <c r="K20" s="29">
        <f>Elec!B17</f>
        <v>362</v>
      </c>
      <c r="L20" s="29">
        <f>Elec!C17</f>
        <v>692</v>
      </c>
      <c r="M20" s="52">
        <f>Elec!D17</f>
        <v>1054</v>
      </c>
      <c r="O20" s="28">
        <f t="shared" si="6"/>
        <v>3520.3599999999997</v>
      </c>
      <c r="Q20" s="28">
        <f t="shared" si="3"/>
        <v>3.597302</v>
      </c>
      <c r="R20" s="28">
        <f>O20*E$3</f>
        <v>12.014988679999998</v>
      </c>
      <c r="S20" s="19">
        <f>HDD!B24</f>
        <v>563</v>
      </c>
      <c r="T20" s="19">
        <f>CDD!B24</f>
        <v>2</v>
      </c>
      <c r="V20" s="48">
        <f t="shared" si="4"/>
        <v>2753.3847055376505</v>
      </c>
      <c r="W20" s="43">
        <f>H20+O20</f>
        <v>5299.6157866979192</v>
      </c>
      <c r="X20" s="43"/>
      <c r="Y20" s="43">
        <f>D20+Q20</f>
        <v>9.3973019999999998</v>
      </c>
      <c r="Z20" s="49">
        <f>E20+R20</f>
        <v>18.08758868</v>
      </c>
    </row>
    <row r="21" spans="1:26">
      <c r="B21" s="1">
        <v>40888</v>
      </c>
      <c r="C21" s="8">
        <f>Gas!D18</f>
        <v>68</v>
      </c>
      <c r="D21" s="52">
        <f t="shared" si="5"/>
        <v>6.8000000000000007</v>
      </c>
      <c r="E21" s="28">
        <f t="shared" si="0"/>
        <v>7.1196000000000002</v>
      </c>
      <c r="G21" s="28">
        <f t="shared" si="1"/>
        <v>1992.3820685613834</v>
      </c>
      <c r="H21" s="28">
        <f t="shared" si="2"/>
        <v>2086.0240257837681</v>
      </c>
      <c r="I21" s="28"/>
      <c r="J21" s="1">
        <v>40878</v>
      </c>
      <c r="K21" s="29">
        <f>Elec!B18</f>
        <v>329</v>
      </c>
      <c r="L21" s="29">
        <f>Elec!C18</f>
        <v>541</v>
      </c>
      <c r="M21" s="52">
        <f>Elec!D18</f>
        <v>870</v>
      </c>
      <c r="O21" s="28">
        <f t="shared" si="6"/>
        <v>2905.7999999999997</v>
      </c>
      <c r="Q21" s="28">
        <f t="shared" si="3"/>
        <v>2.9693099999999997</v>
      </c>
      <c r="R21" s="28">
        <f>O21*E$3</f>
        <v>9.9174953999999982</v>
      </c>
      <c r="S21" s="19">
        <f>HDD!B25</f>
        <v>882</v>
      </c>
      <c r="T21" s="19">
        <f>CDD!B25</f>
        <v>0</v>
      </c>
      <c r="V21" s="48">
        <f t="shared" si="4"/>
        <v>2862.3820685613837</v>
      </c>
      <c r="W21" s="43">
        <f>H21+O21</f>
        <v>4991.8240257837679</v>
      </c>
      <c r="X21" s="43"/>
      <c r="Y21" s="43">
        <f>D21+Q21</f>
        <v>9.7693100000000008</v>
      </c>
      <c r="Z21" s="49">
        <f>E21+R21</f>
        <v>17.037095399999998</v>
      </c>
    </row>
    <row r="22" spans="1:26">
      <c r="B22" s="1">
        <v>40920</v>
      </c>
      <c r="C22" s="8">
        <f>Gas!D19</f>
        <v>96</v>
      </c>
      <c r="D22" s="52">
        <f t="shared" si="5"/>
        <v>9.6000000000000014</v>
      </c>
      <c r="E22" s="28">
        <f t="shared" si="0"/>
        <v>10.051200000000001</v>
      </c>
      <c r="G22" s="28">
        <f t="shared" si="1"/>
        <v>2812.7746850278354</v>
      </c>
      <c r="H22" s="28">
        <f t="shared" si="2"/>
        <v>2944.9750952241438</v>
      </c>
      <c r="I22" s="28"/>
      <c r="J22" s="1">
        <v>40909</v>
      </c>
      <c r="K22" s="29">
        <f>Elec!B19</f>
        <v>358</v>
      </c>
      <c r="L22" s="29">
        <f>Elec!C19</f>
        <v>779</v>
      </c>
      <c r="M22" s="52">
        <f>Elec!D19</f>
        <v>1137</v>
      </c>
      <c r="O22" s="28">
        <f t="shared" si="6"/>
        <v>3797.58</v>
      </c>
      <c r="Q22" s="28">
        <f t="shared" si="3"/>
        <v>3.8805809999999998</v>
      </c>
      <c r="R22" s="28">
        <f>O22*E$3</f>
        <v>12.961140539999999</v>
      </c>
      <c r="S22" s="19">
        <f>HDD!B26</f>
        <v>1053</v>
      </c>
      <c r="T22" s="19">
        <f>CDD!B26</f>
        <v>0</v>
      </c>
      <c r="V22" s="48">
        <f t="shared" si="4"/>
        <v>3949.7746850278354</v>
      </c>
      <c r="W22" s="43">
        <f>H22+O22</f>
        <v>6742.5550952241438</v>
      </c>
      <c r="X22" s="43"/>
      <c r="Y22" s="43">
        <f>D22+Q22</f>
        <v>13.480581000000001</v>
      </c>
      <c r="Z22" s="49">
        <f>E22+R22</f>
        <v>23.01234054</v>
      </c>
    </row>
    <row r="23" spans="1:26">
      <c r="B23" s="1">
        <v>40940</v>
      </c>
      <c r="C23" s="8">
        <f>Gas!D20</f>
        <v>93</v>
      </c>
      <c r="D23" s="52">
        <f t="shared" si="5"/>
        <v>9.3000000000000007</v>
      </c>
      <c r="E23" s="28">
        <f t="shared" si="0"/>
        <v>9.7370999999999999</v>
      </c>
      <c r="G23" s="28">
        <f t="shared" si="1"/>
        <v>2724.8754761207156</v>
      </c>
      <c r="H23" s="28">
        <f t="shared" si="2"/>
        <v>2852.9446234983889</v>
      </c>
      <c r="I23" s="28"/>
      <c r="J23" s="1">
        <v>40940</v>
      </c>
      <c r="K23" s="29">
        <f>Elec!B20</f>
        <v>314</v>
      </c>
      <c r="L23" s="29">
        <f>Elec!C20</f>
        <v>609</v>
      </c>
      <c r="M23" s="52">
        <f>Elec!D20</f>
        <v>923</v>
      </c>
      <c r="O23" s="28">
        <f t="shared" si="6"/>
        <v>3082.8199999999997</v>
      </c>
      <c r="Q23" s="28">
        <f t="shared" si="3"/>
        <v>3.1501989999999997</v>
      </c>
      <c r="R23" s="28">
        <f>O23*E$3</f>
        <v>10.521664659999999</v>
      </c>
      <c r="S23" s="19">
        <f>HDD!B27</f>
        <v>895</v>
      </c>
      <c r="T23" s="19">
        <f>CDD!B27</f>
        <v>0</v>
      </c>
      <c r="V23" s="48">
        <f t="shared" si="4"/>
        <v>3647.8754761207156</v>
      </c>
      <c r="W23" s="43">
        <f>H23+O23</f>
        <v>5935.7646234983886</v>
      </c>
      <c r="X23" s="43"/>
      <c r="Y23" s="43">
        <f>D23+Q23</f>
        <v>12.450199000000001</v>
      </c>
      <c r="Z23" s="49">
        <f>E23+R23</f>
        <v>20.258764659999997</v>
      </c>
    </row>
    <row r="24" spans="1:26">
      <c r="B24" s="1">
        <v>40969</v>
      </c>
      <c r="C24" s="8">
        <f>Gas!D21</f>
        <v>57</v>
      </c>
      <c r="D24" s="52">
        <f t="shared" si="5"/>
        <v>5.7</v>
      </c>
      <c r="E24" s="28">
        <f t="shared" si="0"/>
        <v>5.9679000000000002</v>
      </c>
      <c r="G24" s="28">
        <f t="shared" si="1"/>
        <v>1670.0849692352772</v>
      </c>
      <c r="H24" s="28">
        <f t="shared" si="2"/>
        <v>1748.578962789335</v>
      </c>
      <c r="I24" s="28"/>
      <c r="J24" s="1">
        <v>40969</v>
      </c>
      <c r="K24" s="29">
        <f>Elec!B21</f>
        <v>292</v>
      </c>
      <c r="L24" s="29">
        <f>Elec!C21</f>
        <v>536</v>
      </c>
      <c r="M24" s="52">
        <f>Elec!D21</f>
        <v>828</v>
      </c>
      <c r="O24" s="28">
        <f t="shared" si="6"/>
        <v>2765.52</v>
      </c>
      <c r="Q24" s="28">
        <f t="shared" si="3"/>
        <v>2.8259639999999999</v>
      </c>
      <c r="R24" s="28">
        <f>O24*E$3</f>
        <v>9.4387197599999997</v>
      </c>
      <c r="S24" s="19">
        <f>HDD!B28</f>
        <v>652</v>
      </c>
      <c r="T24" s="19">
        <f>CDD!B28</f>
        <v>23</v>
      </c>
      <c r="V24" s="48">
        <f t="shared" si="4"/>
        <v>2498.0849692352772</v>
      </c>
      <c r="W24" s="43">
        <f>H24+O24</f>
        <v>4514.098962789335</v>
      </c>
      <c r="X24" s="43"/>
      <c r="Y24" s="43">
        <f>D24+Q24</f>
        <v>8.5259640000000001</v>
      </c>
      <c r="Z24" s="49">
        <f>E24+R24</f>
        <v>15.40661976</v>
      </c>
    </row>
    <row r="25" spans="1:26">
      <c r="B25" s="1">
        <v>41000</v>
      </c>
      <c r="C25" s="8">
        <f>Gas!D22</f>
        <v>41</v>
      </c>
      <c r="D25" s="52">
        <f t="shared" si="5"/>
        <v>4.1000000000000005</v>
      </c>
      <c r="E25" s="28">
        <f t="shared" si="0"/>
        <v>4.2927</v>
      </c>
      <c r="G25" s="28">
        <f t="shared" si="1"/>
        <v>1201.2891883973048</v>
      </c>
      <c r="H25" s="28">
        <f t="shared" si="2"/>
        <v>1257.7497802519779</v>
      </c>
      <c r="I25" s="28"/>
      <c r="J25" s="1">
        <v>41000</v>
      </c>
      <c r="K25" s="29">
        <f>Elec!B22</f>
        <v>301</v>
      </c>
      <c r="L25" s="29">
        <f>Elec!C22</f>
        <v>511</v>
      </c>
      <c r="M25" s="52">
        <f>Elec!D22</f>
        <v>812</v>
      </c>
      <c r="O25" s="28">
        <f t="shared" si="6"/>
        <v>2712.08</v>
      </c>
      <c r="Q25" s="28">
        <f t="shared" si="3"/>
        <v>2.7713559999999999</v>
      </c>
      <c r="R25" s="28">
        <f>O25*E$3</f>
        <v>9.2563290399999989</v>
      </c>
      <c r="S25" s="19">
        <f>HDD!B29</f>
        <v>463</v>
      </c>
      <c r="T25" s="19">
        <f>CDD!B29</f>
        <v>26</v>
      </c>
      <c r="V25" s="48">
        <f t="shared" si="4"/>
        <v>2013.2891883973048</v>
      </c>
      <c r="W25" s="43">
        <f>H25+O25</f>
        <v>3969.8297802519778</v>
      </c>
      <c r="X25" s="43"/>
      <c r="Y25" s="43">
        <f>D25+Q25</f>
        <v>6.8713560000000005</v>
      </c>
      <c r="Z25" s="49">
        <f>E25+R25</f>
        <v>13.549029039999999</v>
      </c>
    </row>
    <row r="26" spans="1:26">
      <c r="B26" s="1">
        <v>41030</v>
      </c>
      <c r="C26" s="8">
        <f>Gas!D23</f>
        <v>28</v>
      </c>
      <c r="D26" s="52">
        <f t="shared" si="5"/>
        <v>2.8000000000000003</v>
      </c>
      <c r="E26" s="28">
        <f t="shared" si="0"/>
        <v>2.9316</v>
      </c>
      <c r="G26" s="28">
        <f t="shared" si="1"/>
        <v>820.39261646645195</v>
      </c>
      <c r="H26" s="28">
        <f t="shared" si="2"/>
        <v>858.95106944037514</v>
      </c>
      <c r="I26" s="28"/>
      <c r="J26" s="1">
        <v>41030</v>
      </c>
      <c r="K26" s="29">
        <f>Elec!B23</f>
        <v>338</v>
      </c>
      <c r="L26" s="29">
        <f>Elec!C23</f>
        <v>540</v>
      </c>
      <c r="M26" s="52">
        <f>Elec!D23</f>
        <v>878</v>
      </c>
      <c r="O26" s="28">
        <f t="shared" si="6"/>
        <v>2932.52</v>
      </c>
      <c r="Q26" s="28">
        <f t="shared" si="3"/>
        <v>2.9966139999999997</v>
      </c>
      <c r="R26" s="28">
        <f>O26*E$3</f>
        <v>10.008690759999999</v>
      </c>
      <c r="S26" s="19">
        <f>HDD!B30</f>
        <v>208</v>
      </c>
      <c r="T26" s="19">
        <f>CDD!B30</f>
        <v>60</v>
      </c>
      <c r="V26" s="48">
        <f t="shared" si="4"/>
        <v>1698.392616466452</v>
      </c>
      <c r="W26" s="43">
        <f>H26+O26</f>
        <v>3791.4710694403752</v>
      </c>
      <c r="X26" s="43"/>
      <c r="Y26" s="43">
        <f>D26+Q26</f>
        <v>5.7966139999999999</v>
      </c>
      <c r="Z26" s="49">
        <f>E26+R26</f>
        <v>12.940290759999998</v>
      </c>
    </row>
    <row r="27" spans="1:26">
      <c r="B27" s="1">
        <v>41061</v>
      </c>
      <c r="C27" s="8">
        <f>Gas!D24</f>
        <v>15</v>
      </c>
      <c r="D27" s="52">
        <f t="shared" si="5"/>
        <v>1.5</v>
      </c>
      <c r="E27" s="28">
        <f t="shared" si="0"/>
        <v>1.5705</v>
      </c>
      <c r="G27" s="28">
        <f t="shared" si="1"/>
        <v>439.49604453559925</v>
      </c>
      <c r="H27" s="28">
        <f t="shared" si="2"/>
        <v>460.15235862877239</v>
      </c>
      <c r="I27" s="28"/>
      <c r="J27" s="1">
        <v>41061</v>
      </c>
      <c r="K27" s="29">
        <f>Elec!B24</f>
        <v>285</v>
      </c>
      <c r="L27" s="29">
        <f>Elec!C24</f>
        <v>661</v>
      </c>
      <c r="M27" s="52">
        <f>Elec!D24</f>
        <v>946</v>
      </c>
      <c r="O27" s="28">
        <f t="shared" si="6"/>
        <v>3159.64</v>
      </c>
      <c r="Q27" s="28">
        <f t="shared" si="3"/>
        <v>3.2286979999999996</v>
      </c>
      <c r="R27" s="28">
        <f>O27*E$3</f>
        <v>10.783851319999998</v>
      </c>
      <c r="S27" s="19">
        <f>HDD!B31</f>
        <v>121</v>
      </c>
      <c r="T27" s="19">
        <f>CDD!B31</f>
        <v>128</v>
      </c>
      <c r="V27" s="48">
        <f t="shared" si="4"/>
        <v>1385.4960445355991</v>
      </c>
      <c r="W27" s="43">
        <f>H27+O27</f>
        <v>3619.7923586287725</v>
      </c>
      <c r="X27" s="43"/>
      <c r="Y27" s="43">
        <f>D27+Q27</f>
        <v>4.7286979999999996</v>
      </c>
      <c r="Z27" s="49">
        <f>E27+R27</f>
        <v>12.354351319999999</v>
      </c>
    </row>
    <row r="28" spans="1:26">
      <c r="B28" s="1">
        <v>41101</v>
      </c>
      <c r="C28" s="8">
        <f>Gas!D25</f>
        <v>13</v>
      </c>
      <c r="D28" s="52">
        <f t="shared" si="5"/>
        <v>1.3</v>
      </c>
      <c r="E28" s="28">
        <f t="shared" si="0"/>
        <v>1.3611</v>
      </c>
      <c r="G28" s="28">
        <f t="shared" si="1"/>
        <v>380.8965719308527</v>
      </c>
      <c r="H28" s="28">
        <f t="shared" si="2"/>
        <v>398.79871081160275</v>
      </c>
      <c r="I28" s="28"/>
      <c r="J28" s="1">
        <v>41091</v>
      </c>
      <c r="K28" s="29">
        <f>Elec!B25</f>
        <v>302</v>
      </c>
      <c r="L28" s="29">
        <f>Elec!C25</f>
        <v>1088</v>
      </c>
      <c r="M28" s="52">
        <f>Elec!D25</f>
        <v>1390</v>
      </c>
      <c r="O28" s="28">
        <f t="shared" si="6"/>
        <v>4642.5999999999995</v>
      </c>
      <c r="Q28" s="28">
        <f t="shared" si="3"/>
        <v>4.7440699999999998</v>
      </c>
      <c r="R28" s="28">
        <f>O28*E$3</f>
        <v>15.845193799999997</v>
      </c>
      <c r="S28" s="19">
        <f>HDD!B32</f>
        <v>22</v>
      </c>
      <c r="T28" s="19">
        <f>CDD!B32</f>
        <v>291</v>
      </c>
      <c r="V28" s="50">
        <f t="shared" si="4"/>
        <v>1770.8965719308526</v>
      </c>
      <c r="W28" s="44">
        <f>H28+O28</f>
        <v>5041.3987108116025</v>
      </c>
      <c r="X28" s="44"/>
      <c r="Y28" s="44">
        <f>D28+Q28</f>
        <v>6.0440699999999996</v>
      </c>
      <c r="Z28" s="51">
        <f>E28+R28</f>
        <v>17.206293799999997</v>
      </c>
    </row>
    <row r="29" spans="1:26">
      <c r="B29" s="1">
        <v>41132</v>
      </c>
      <c r="C29" s="8">
        <f>Gas!D26</f>
        <v>13</v>
      </c>
      <c r="D29" s="29"/>
      <c r="P29" s="19" t="s">
        <v>90</v>
      </c>
      <c r="Q29" s="28">
        <f>SUM(Q23:Q28)</f>
        <v>19.716901</v>
      </c>
      <c r="R29" s="28">
        <f>SUM(R23:R28)</f>
        <v>65.854449339999988</v>
      </c>
    </row>
    <row r="30" spans="1:26" s="19" customFormat="1">
      <c r="B30" s="1"/>
      <c r="C30" s="8" t="s">
        <v>89</v>
      </c>
      <c r="D30" s="52">
        <f>SUM(D23:D28)</f>
        <v>24.700000000000003</v>
      </c>
      <c r="E30" s="52">
        <f>SUM(E23:E28)</f>
        <v>25.860900000000001</v>
      </c>
      <c r="P30" s="19" t="s">
        <v>92</v>
      </c>
      <c r="Q30" s="28">
        <f>SUM(Q17:Q28)</f>
        <v>48.450947999999997</v>
      </c>
      <c r="R30" s="28">
        <f>SUM(R17:R28)</f>
        <v>161.82616631999997</v>
      </c>
    </row>
    <row r="31" spans="1:26" s="19" customFormat="1">
      <c r="B31" s="1"/>
      <c r="C31" s="8" t="s">
        <v>91</v>
      </c>
      <c r="D31" s="52">
        <f>SUM(D17:D28)</f>
        <v>52.300000000000004</v>
      </c>
      <c r="E31" s="52">
        <f>SUM(E17:E28)</f>
        <v>54.758100000000013</v>
      </c>
    </row>
    <row r="32" spans="1:26" s="19" customFormat="1">
      <c r="A32" s="19" t="s">
        <v>87</v>
      </c>
      <c r="B32" s="1"/>
      <c r="C32" s="8"/>
      <c r="D32" s="29"/>
    </row>
    <row r="33" spans="1:27" s="19" customFormat="1">
      <c r="A33" s="55"/>
      <c r="B33" s="56"/>
      <c r="C33" s="57">
        <f>MIN(C23:C28)</f>
        <v>13</v>
      </c>
      <c r="D33" s="58">
        <f t="shared" ref="D33" si="7">C33*E$2</f>
        <v>1.3</v>
      </c>
      <c r="E33" s="59">
        <f t="shared" ref="E33" si="8">D33*E$5</f>
        <v>1.3611</v>
      </c>
      <c r="F33" s="60"/>
      <c r="G33" s="60"/>
      <c r="H33" s="60"/>
      <c r="I33" s="60"/>
      <c r="J33" s="60"/>
      <c r="K33" s="60"/>
      <c r="L33" s="60"/>
      <c r="M33" s="59">
        <f>MIN(M23:M28)</f>
        <v>812</v>
      </c>
      <c r="N33" s="60"/>
      <c r="O33" s="60"/>
      <c r="P33" s="60"/>
      <c r="Q33" s="59">
        <f t="shared" ref="Q33" si="9">M33*E$3</f>
        <v>2.7713559999999999</v>
      </c>
      <c r="R33" s="59">
        <f>Q33*$E$4</f>
        <v>9.2563290399999989</v>
      </c>
      <c r="S33" s="60"/>
      <c r="T33" s="60"/>
      <c r="U33" s="60"/>
      <c r="V33" s="60"/>
      <c r="W33" s="60"/>
      <c r="X33" s="60"/>
      <c r="Y33" s="59">
        <f>D33+Q33</f>
        <v>4.0713559999999998</v>
      </c>
      <c r="Z33" s="61">
        <f>E33+R33</f>
        <v>10.617429039999999</v>
      </c>
    </row>
    <row r="34" spans="1:27" s="19" customFormat="1">
      <c r="A34" s="19" t="s">
        <v>70</v>
      </c>
      <c r="B34" s="1"/>
      <c r="C34" s="8"/>
      <c r="D34" s="29"/>
    </row>
    <row r="35" spans="1:27" s="19" customFormat="1">
      <c r="A35" s="55"/>
      <c r="B35" s="56"/>
      <c r="C35" s="57">
        <f>SUM(C36:C37)/2</f>
        <v>13.5</v>
      </c>
      <c r="D35" s="58">
        <f t="shared" ref="D35" si="10">C35*E$2</f>
        <v>1.35</v>
      </c>
      <c r="E35" s="59">
        <f t="shared" ref="E35" si="11">D35*E$5</f>
        <v>1.4134500000000001</v>
      </c>
      <c r="F35" s="60"/>
      <c r="G35" s="59"/>
      <c r="H35" s="59"/>
      <c r="I35" s="60"/>
      <c r="J35" s="60"/>
      <c r="K35" s="60"/>
      <c r="L35" s="60"/>
      <c r="M35" s="59">
        <f>SUM(M36:M37)/2</f>
        <v>820</v>
      </c>
      <c r="N35" s="60"/>
      <c r="O35" s="59"/>
      <c r="P35" s="60"/>
      <c r="Q35" s="59">
        <f t="shared" ref="Q35" si="12">M35*E$3</f>
        <v>2.7986599999999999</v>
      </c>
      <c r="R35" s="59">
        <f>Q35*$E$4</f>
        <v>9.3475243999999993</v>
      </c>
      <c r="S35" s="60"/>
      <c r="T35" s="60"/>
      <c r="U35" s="60"/>
      <c r="V35" s="59"/>
      <c r="W35" s="59"/>
      <c r="X35" s="59"/>
      <c r="Y35" s="59">
        <f>D35+Q35</f>
        <v>4.1486599999999996</v>
      </c>
      <c r="Z35" s="61">
        <f>E35+R35</f>
        <v>10.760974399999998</v>
      </c>
    </row>
    <row r="36" spans="1:27" s="19" customFormat="1">
      <c r="B36" s="1"/>
      <c r="C36" s="8">
        <f>MIN(C17:C28)</f>
        <v>13</v>
      </c>
      <c r="D36" s="29"/>
      <c r="M36" s="28">
        <f>MIN(M17:M28)</f>
        <v>812</v>
      </c>
    </row>
    <row r="37" spans="1:27">
      <c r="B37" s="19"/>
      <c r="C37" s="29">
        <f>MIN(C17:C27)</f>
        <v>14</v>
      </c>
      <c r="D37" s="29"/>
      <c r="M37" s="28">
        <f>MIN(M26:M28,M17:M24)</f>
        <v>828</v>
      </c>
      <c r="T37" s="31" t="s">
        <v>66</v>
      </c>
      <c r="U37" s="32"/>
      <c r="V37" s="32"/>
      <c r="W37" s="32"/>
      <c r="X37" s="32"/>
      <c r="Y37" s="32"/>
      <c r="Z37" s="32"/>
      <c r="AA37" s="33"/>
    </row>
    <row r="38" spans="1:27">
      <c r="M38" s="19"/>
      <c r="T38" s="34"/>
      <c r="U38" s="35"/>
      <c r="V38" s="35" t="s">
        <v>20</v>
      </c>
      <c r="W38" s="35" t="s">
        <v>23</v>
      </c>
      <c r="X38" s="35"/>
      <c r="Y38" s="35" t="s">
        <v>21</v>
      </c>
      <c r="Z38" s="35" t="s">
        <v>22</v>
      </c>
      <c r="AA38" s="36"/>
    </row>
    <row r="39" spans="1:27">
      <c r="M39" s="19"/>
      <c r="T39" s="34"/>
      <c r="U39" s="35"/>
      <c r="V39" s="35"/>
      <c r="W39" s="35"/>
      <c r="X39" s="35"/>
      <c r="Y39" s="35"/>
      <c r="Z39" s="35"/>
      <c r="AA39" s="36"/>
    </row>
    <row r="40" spans="1:27">
      <c r="C40">
        <f>SUM(C23:C28)</f>
        <v>247</v>
      </c>
      <c r="M40" s="19">
        <f>SUM(M23:M28)</f>
        <v>5777</v>
      </c>
      <c r="T40" s="34" t="s">
        <v>64</v>
      </c>
      <c r="U40" s="35"/>
      <c r="V40" s="43">
        <f>SUM(V17:V28)</f>
        <v>29519.762086141229</v>
      </c>
      <c r="W40" s="43">
        <f>SUM(W17:W28)</f>
        <v>63458.618904189876</v>
      </c>
      <c r="X40" s="35"/>
      <c r="Y40" s="43">
        <f>SUM(Y17:Y28)</f>
        <v>100.75094800000001</v>
      </c>
      <c r="Z40" s="43">
        <f>SUM(Z17:Z28)</f>
        <v>216.58426632000001</v>
      </c>
      <c r="AA40" s="36"/>
    </row>
    <row r="41" spans="1:27">
      <c r="C41">
        <f>SUM(C17:C28)</f>
        <v>523</v>
      </c>
      <c r="M41" s="19">
        <f>SUM(M17:M28)</f>
        <v>14196</v>
      </c>
      <c r="T41" s="34"/>
      <c r="U41" s="35"/>
      <c r="V41" s="35"/>
      <c r="W41" s="35"/>
      <c r="X41" s="35"/>
      <c r="Y41" s="35"/>
      <c r="Z41" s="35"/>
      <c r="AA41" s="36"/>
    </row>
    <row r="42" spans="1:27">
      <c r="T42" s="41" t="s">
        <v>65</v>
      </c>
      <c r="U42" s="39"/>
      <c r="V42" s="44">
        <f>SUM(V23:V28)</f>
        <v>13014.034866686201</v>
      </c>
      <c r="W42" s="44">
        <f>SUM(W23:W28)</f>
        <v>26872.355505420452</v>
      </c>
      <c r="X42" s="39"/>
      <c r="Y42" s="44">
        <f>SUM(Y23:Y28)</f>
        <v>44.416900999999996</v>
      </c>
      <c r="Z42" s="44">
        <f>SUM(Z23:Z28)</f>
        <v>91.715349339999989</v>
      </c>
      <c r="AA42" s="40"/>
    </row>
    <row r="43" spans="1:27">
      <c r="A43" s="19" t="s">
        <v>88</v>
      </c>
      <c r="E43" s="28">
        <f>SUM(E17:E28)</f>
        <v>54.758100000000013</v>
      </c>
      <c r="R43" s="28">
        <f>SUM(R17:R28)</f>
        <v>161.82616631999997</v>
      </c>
    </row>
  </sheetData>
  <mergeCells count="1">
    <mergeCell ref="K7:L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2"/>
  <sheetViews>
    <sheetView topLeftCell="A3" workbookViewId="0">
      <selection activeCell="B21" sqref="B21"/>
    </sheetView>
  </sheetViews>
  <sheetFormatPr defaultRowHeight="15"/>
  <cols>
    <col min="1" max="1" width="13.140625" bestFit="1" customWidth="1"/>
  </cols>
  <sheetData>
    <row r="1" spans="1:3">
      <c r="A1" s="9" t="s">
        <v>7</v>
      </c>
      <c r="B1" s="9" t="s">
        <v>8</v>
      </c>
      <c r="C1" s="9"/>
    </row>
    <row r="2" spans="1:3">
      <c r="A2" s="9" t="s">
        <v>9</v>
      </c>
      <c r="B2" s="9" t="s">
        <v>10</v>
      </c>
      <c r="C2" s="9"/>
    </row>
    <row r="3" spans="1:3">
      <c r="A3" s="9" t="s">
        <v>11</v>
      </c>
      <c r="B3" s="9" t="s">
        <v>12</v>
      </c>
      <c r="C3" s="9"/>
    </row>
    <row r="4" spans="1:3">
      <c r="A4" s="9" t="s">
        <v>13</v>
      </c>
      <c r="B4" s="9" t="s">
        <v>14</v>
      </c>
      <c r="C4" s="9"/>
    </row>
    <row r="5" spans="1:3">
      <c r="A5" s="9" t="s">
        <v>15</v>
      </c>
      <c r="B5" s="9" t="s">
        <v>16</v>
      </c>
      <c r="C5" s="9"/>
    </row>
    <row r="7" spans="1:3">
      <c r="A7" s="9" t="s">
        <v>17</v>
      </c>
      <c r="B7" s="9" t="s">
        <v>1</v>
      </c>
      <c r="C7" s="9" t="s">
        <v>18</v>
      </c>
    </row>
    <row r="8" spans="1:3" s="17" customFormat="1">
      <c r="A8" s="20">
        <v>40360</v>
      </c>
      <c r="B8" s="19">
        <v>22</v>
      </c>
    </row>
    <row r="9" spans="1:3" s="11" customFormat="1">
      <c r="A9" s="14">
        <v>40391</v>
      </c>
      <c r="B9" s="13">
        <v>44</v>
      </c>
    </row>
    <row r="10" spans="1:3">
      <c r="A10" s="10">
        <v>40422</v>
      </c>
      <c r="B10" s="9">
        <v>112</v>
      </c>
      <c r="C10" s="9"/>
    </row>
    <row r="11" spans="1:3">
      <c r="A11" s="10">
        <v>40452</v>
      </c>
      <c r="B11" s="9">
        <v>442</v>
      </c>
      <c r="C11" s="9"/>
    </row>
    <row r="12" spans="1:3">
      <c r="A12" s="10">
        <v>40483</v>
      </c>
      <c r="B12" s="9">
        <v>710</v>
      </c>
      <c r="C12" s="9"/>
    </row>
    <row r="13" spans="1:3">
      <c r="A13" s="10">
        <v>40513</v>
      </c>
      <c r="B13" s="9">
        <v>1110</v>
      </c>
      <c r="C13" s="9"/>
    </row>
    <row r="14" spans="1:3">
      <c r="A14" s="10">
        <v>40544</v>
      </c>
      <c r="B14" s="9">
        <v>1298</v>
      </c>
      <c r="C14" s="9"/>
    </row>
    <row r="15" spans="1:3">
      <c r="A15" s="10">
        <v>40575</v>
      </c>
      <c r="B15" s="9">
        <v>1070</v>
      </c>
      <c r="C15" s="9"/>
    </row>
    <row r="16" spans="1:3">
      <c r="A16" s="10">
        <v>40603</v>
      </c>
      <c r="B16" s="9">
        <v>885</v>
      </c>
      <c r="C16" s="9"/>
    </row>
    <row r="17" spans="1:3">
      <c r="A17" s="10">
        <v>40634</v>
      </c>
      <c r="B17" s="9">
        <v>502</v>
      </c>
      <c r="C17" s="9"/>
    </row>
    <row r="18" spans="1:3">
      <c r="A18" s="10">
        <v>40664</v>
      </c>
      <c r="B18" s="9">
        <v>268</v>
      </c>
      <c r="C18" s="9"/>
    </row>
    <row r="19" spans="1:3">
      <c r="A19" s="10">
        <v>40695</v>
      </c>
      <c r="B19" s="9">
        <v>113</v>
      </c>
      <c r="C19" s="9"/>
    </row>
    <row r="20" spans="1:3">
      <c r="A20" s="10">
        <v>40725</v>
      </c>
      <c r="B20" s="9">
        <v>20</v>
      </c>
      <c r="C20" s="9"/>
    </row>
    <row r="21" spans="1:3">
      <c r="A21" s="10">
        <v>40756</v>
      </c>
      <c r="B21" s="9">
        <v>31</v>
      </c>
      <c r="C21" s="9"/>
    </row>
    <row r="22" spans="1:3">
      <c r="A22" s="20">
        <v>40787</v>
      </c>
      <c r="B22">
        <v>108</v>
      </c>
      <c r="C22">
        <v>0</v>
      </c>
    </row>
    <row r="23" spans="1:3">
      <c r="A23" s="20">
        <v>40817</v>
      </c>
      <c r="B23">
        <v>418</v>
      </c>
      <c r="C23">
        <v>0</v>
      </c>
    </row>
    <row r="24" spans="1:3">
      <c r="A24" s="20">
        <v>40848</v>
      </c>
      <c r="B24">
        <v>563</v>
      </c>
      <c r="C24">
        <v>0.1</v>
      </c>
    </row>
    <row r="25" spans="1:3">
      <c r="A25" s="20">
        <v>40878</v>
      </c>
      <c r="B25">
        <v>882</v>
      </c>
      <c r="C25">
        <v>0</v>
      </c>
    </row>
    <row r="26" spans="1:3">
      <c r="A26" s="20">
        <v>40909</v>
      </c>
      <c r="B26">
        <v>1053</v>
      </c>
      <c r="C26">
        <v>0</v>
      </c>
    </row>
    <row r="27" spans="1:3">
      <c r="A27" s="20">
        <v>40940</v>
      </c>
      <c r="B27">
        <v>895</v>
      </c>
      <c r="C27">
        <v>0.03</v>
      </c>
    </row>
    <row r="28" spans="1:3">
      <c r="A28" s="20">
        <v>40969</v>
      </c>
      <c r="B28">
        <v>652</v>
      </c>
      <c r="C28">
        <v>0</v>
      </c>
    </row>
    <row r="29" spans="1:3">
      <c r="A29" s="20">
        <v>41000</v>
      </c>
      <c r="B29">
        <v>463</v>
      </c>
      <c r="C29">
        <v>0.03</v>
      </c>
    </row>
    <row r="30" spans="1:3">
      <c r="A30" s="20">
        <v>41030</v>
      </c>
      <c r="B30">
        <v>208</v>
      </c>
      <c r="C30">
        <v>0.06</v>
      </c>
    </row>
    <row r="31" spans="1:3">
      <c r="A31" s="20">
        <v>41061</v>
      </c>
      <c r="B31">
        <v>121</v>
      </c>
      <c r="C31">
        <v>7.0000000000000007E-2</v>
      </c>
    </row>
    <row r="32" spans="1:3">
      <c r="A32" s="20">
        <v>41091</v>
      </c>
      <c r="B32">
        <v>22</v>
      </c>
      <c r="C32">
        <v>0.1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2"/>
  <sheetViews>
    <sheetView topLeftCell="A3" workbookViewId="0">
      <selection activeCell="A22" sqref="A22:C32"/>
    </sheetView>
  </sheetViews>
  <sheetFormatPr defaultRowHeight="15"/>
  <cols>
    <col min="1" max="1" width="13.140625" bestFit="1" customWidth="1"/>
  </cols>
  <sheetData>
    <row r="1" spans="1:3">
      <c r="A1" s="11" t="s">
        <v>7</v>
      </c>
      <c r="B1" s="11" t="s">
        <v>19</v>
      </c>
      <c r="C1" s="11"/>
    </row>
    <row r="2" spans="1:3">
      <c r="A2" s="11" t="s">
        <v>9</v>
      </c>
      <c r="B2" s="11" t="s">
        <v>10</v>
      </c>
      <c r="C2" s="11"/>
    </row>
    <row r="3" spans="1:3">
      <c r="A3" s="11" t="s">
        <v>11</v>
      </c>
      <c r="B3" s="11" t="s">
        <v>12</v>
      </c>
      <c r="C3" s="11"/>
    </row>
    <row r="4" spans="1:3">
      <c r="A4" s="11" t="s">
        <v>13</v>
      </c>
      <c r="B4" s="11" t="s">
        <v>14</v>
      </c>
      <c r="C4" s="11"/>
    </row>
    <row r="5" spans="1:3">
      <c r="A5" s="11" t="s">
        <v>15</v>
      </c>
      <c r="B5" s="11" t="s">
        <v>16</v>
      </c>
      <c r="C5" s="11"/>
    </row>
    <row r="7" spans="1:3">
      <c r="A7" s="11" t="s">
        <v>17</v>
      </c>
      <c r="B7" s="11" t="s">
        <v>6</v>
      </c>
      <c r="C7" s="11" t="s">
        <v>18</v>
      </c>
    </row>
    <row r="8" spans="1:3" s="15" customFormat="1">
      <c r="A8" s="18">
        <v>40360</v>
      </c>
      <c r="B8" s="17">
        <v>360</v>
      </c>
    </row>
    <row r="9" spans="1:3" s="13" customFormat="1">
      <c r="A9" s="16">
        <v>40391</v>
      </c>
      <c r="B9" s="15">
        <v>263</v>
      </c>
    </row>
    <row r="10" spans="1:3">
      <c r="A10" s="12">
        <v>40422</v>
      </c>
      <c r="B10" s="11">
        <v>128</v>
      </c>
      <c r="C10" s="11">
        <v>0</v>
      </c>
    </row>
    <row r="11" spans="1:3">
      <c r="A11" s="12">
        <v>40452</v>
      </c>
      <c r="B11" s="11">
        <v>14</v>
      </c>
      <c r="C11" s="11">
        <v>0.3</v>
      </c>
    </row>
    <row r="12" spans="1:3">
      <c r="A12" s="12">
        <v>40483</v>
      </c>
      <c r="B12" s="11">
        <v>0</v>
      </c>
      <c r="C12" s="11">
        <v>0</v>
      </c>
    </row>
    <row r="13" spans="1:3">
      <c r="A13" s="12">
        <v>40513</v>
      </c>
      <c r="B13" s="11">
        <v>0</v>
      </c>
      <c r="C13" s="11">
        <v>0.7</v>
      </c>
    </row>
    <row r="14" spans="1:3">
      <c r="A14" s="12">
        <v>40544</v>
      </c>
      <c r="B14" s="11">
        <v>0</v>
      </c>
      <c r="C14" s="11">
        <v>0</v>
      </c>
    </row>
    <row r="15" spans="1:3">
      <c r="A15" s="12">
        <v>40575</v>
      </c>
      <c r="B15" s="11">
        <v>0</v>
      </c>
      <c r="C15" s="11">
        <v>0</v>
      </c>
    </row>
    <row r="16" spans="1:3">
      <c r="A16" s="12">
        <v>40603</v>
      </c>
      <c r="B16" s="11">
        <v>0</v>
      </c>
      <c r="C16" s="11">
        <v>0</v>
      </c>
    </row>
    <row r="17" spans="1:3">
      <c r="A17" s="12">
        <v>40634</v>
      </c>
      <c r="B17" s="11">
        <v>12</v>
      </c>
      <c r="C17" s="11">
        <v>0</v>
      </c>
    </row>
    <row r="18" spans="1:3">
      <c r="A18" s="12">
        <v>40664</v>
      </c>
      <c r="B18" s="11">
        <v>63</v>
      </c>
      <c r="C18" s="11">
        <v>0</v>
      </c>
    </row>
    <row r="19" spans="1:3">
      <c r="A19" s="12">
        <v>40695</v>
      </c>
      <c r="B19" s="11">
        <v>122</v>
      </c>
      <c r="C19" s="11">
        <v>0</v>
      </c>
    </row>
    <row r="20" spans="1:3">
      <c r="A20" s="12">
        <v>40725</v>
      </c>
      <c r="B20" s="11">
        <v>309</v>
      </c>
      <c r="C20" s="11">
        <v>0</v>
      </c>
    </row>
    <row r="21" spans="1:3">
      <c r="A21" s="12">
        <v>40756</v>
      </c>
      <c r="B21" s="11">
        <v>202</v>
      </c>
      <c r="C21" s="11">
        <v>0.5</v>
      </c>
    </row>
    <row r="22" spans="1:3">
      <c r="A22" s="20">
        <v>40787</v>
      </c>
      <c r="B22">
        <v>105</v>
      </c>
      <c r="C22">
        <v>0</v>
      </c>
    </row>
    <row r="23" spans="1:3">
      <c r="A23" s="20">
        <v>40817</v>
      </c>
      <c r="B23">
        <v>15</v>
      </c>
      <c r="C23">
        <v>0</v>
      </c>
    </row>
    <row r="24" spans="1:3">
      <c r="A24" s="20">
        <v>40848</v>
      </c>
      <c r="B24">
        <v>2</v>
      </c>
      <c r="C24">
        <v>0.1</v>
      </c>
    </row>
    <row r="25" spans="1:3">
      <c r="A25" s="20">
        <v>40878</v>
      </c>
      <c r="B25">
        <v>0</v>
      </c>
      <c r="C25">
        <v>0</v>
      </c>
    </row>
    <row r="26" spans="1:3">
      <c r="A26" s="20">
        <v>40909</v>
      </c>
      <c r="B26">
        <v>0</v>
      </c>
      <c r="C26">
        <v>0</v>
      </c>
    </row>
    <row r="27" spans="1:3">
      <c r="A27" s="20">
        <v>40940</v>
      </c>
      <c r="B27">
        <v>0</v>
      </c>
      <c r="C27">
        <v>0.03</v>
      </c>
    </row>
    <row r="28" spans="1:3">
      <c r="A28" s="20">
        <v>40969</v>
      </c>
      <c r="B28">
        <v>23</v>
      </c>
      <c r="C28">
        <v>0</v>
      </c>
    </row>
    <row r="29" spans="1:3">
      <c r="A29" s="20">
        <v>41000</v>
      </c>
      <c r="B29">
        <v>26</v>
      </c>
      <c r="C29">
        <v>0.03</v>
      </c>
    </row>
    <row r="30" spans="1:3">
      <c r="A30" s="20">
        <v>41030</v>
      </c>
      <c r="B30">
        <v>60</v>
      </c>
      <c r="C30">
        <v>0.06</v>
      </c>
    </row>
    <row r="31" spans="1:3">
      <c r="A31" s="20">
        <v>41061</v>
      </c>
      <c r="B31">
        <v>128</v>
      </c>
      <c r="C31">
        <v>7.0000000000000007E-2</v>
      </c>
    </row>
    <row r="32" spans="1:3">
      <c r="A32" s="20">
        <v>41091</v>
      </c>
      <c r="B32">
        <v>291</v>
      </c>
      <c r="C32">
        <v>0.1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4"/>
  <sheetViews>
    <sheetView topLeftCell="A4" workbookViewId="0">
      <selection activeCell="P20" sqref="P20"/>
    </sheetView>
  </sheetViews>
  <sheetFormatPr defaultRowHeight="15"/>
  <cols>
    <col min="4" max="5" width="9.140625" style="19"/>
    <col min="14" max="14" width="10.5703125" bestFit="1" customWidth="1"/>
    <col min="15" max="15" width="10.140625" bestFit="1" customWidth="1"/>
  </cols>
  <sheetData>
    <row r="1" spans="1:16" ht="20.25">
      <c r="A1" s="62" t="s">
        <v>71</v>
      </c>
      <c r="B1" s="63"/>
      <c r="C1" s="64"/>
      <c r="D1" s="64"/>
      <c r="E1" s="64"/>
      <c r="F1" s="65"/>
      <c r="G1" s="65"/>
      <c r="H1" s="65"/>
      <c r="I1" s="65"/>
      <c r="J1" s="66"/>
      <c r="K1" s="67"/>
      <c r="L1" s="68"/>
      <c r="M1" s="69"/>
      <c r="N1" s="69"/>
      <c r="O1" s="69"/>
      <c r="P1" s="69"/>
    </row>
    <row r="2" spans="1:16" ht="20.25">
      <c r="A2" s="62"/>
      <c r="B2" s="70"/>
      <c r="C2" s="64"/>
      <c r="D2" s="64"/>
      <c r="E2" s="64"/>
      <c r="F2" s="65"/>
      <c r="G2" s="65"/>
      <c r="H2" s="71"/>
      <c r="I2" s="71"/>
      <c r="J2" s="66"/>
      <c r="K2" s="67"/>
      <c r="L2" s="68"/>
      <c r="M2" s="69"/>
      <c r="N2" s="69"/>
      <c r="O2" s="69"/>
      <c r="P2" s="69"/>
    </row>
    <row r="3" spans="1:16" ht="20.25">
      <c r="A3" s="62"/>
      <c r="B3" s="70"/>
      <c r="C3" s="64"/>
      <c r="D3" s="64"/>
      <c r="E3" s="64"/>
      <c r="F3" s="65"/>
      <c r="G3" s="65"/>
      <c r="H3" s="71"/>
      <c r="I3" s="71"/>
      <c r="J3" s="66"/>
      <c r="K3" s="67"/>
      <c r="L3" s="68"/>
      <c r="M3" s="69"/>
      <c r="N3" s="69"/>
      <c r="O3" s="69"/>
      <c r="P3" s="69"/>
    </row>
    <row r="4" spans="1:16">
      <c r="A4" s="72"/>
      <c r="B4" s="73"/>
      <c r="C4" s="74" t="s">
        <v>80</v>
      </c>
      <c r="D4" s="74"/>
      <c r="E4" s="74"/>
      <c r="F4" s="75" t="str">
        <f>HDD!B4</f>
        <v>BEDFORD HANSCOM FIELD, MA, US (71.29W,42.47N)</v>
      </c>
      <c r="G4" s="75"/>
      <c r="H4" s="65"/>
      <c r="I4" s="65"/>
      <c r="J4" s="112" t="s">
        <v>77</v>
      </c>
      <c r="K4" s="112"/>
      <c r="L4" s="112"/>
      <c r="M4" s="69"/>
      <c r="N4" s="69"/>
      <c r="O4" s="69"/>
      <c r="P4" s="69"/>
    </row>
    <row r="5" spans="1:16" ht="39">
      <c r="A5" s="76" t="s">
        <v>72</v>
      </c>
      <c r="B5" s="77" t="s">
        <v>73</v>
      </c>
      <c r="C5" s="78" t="s">
        <v>83</v>
      </c>
      <c r="D5" s="78"/>
      <c r="E5" s="78"/>
      <c r="F5" s="79" t="s">
        <v>74</v>
      </c>
      <c r="G5" s="80" t="s">
        <v>75</v>
      </c>
      <c r="H5" s="81" t="s">
        <v>76</v>
      </c>
      <c r="I5" s="81"/>
      <c r="J5" s="82"/>
      <c r="K5" s="82" t="s">
        <v>78</v>
      </c>
      <c r="L5" s="82" t="s">
        <v>79</v>
      </c>
      <c r="M5" s="83" t="s">
        <v>84</v>
      </c>
      <c r="N5" s="83" t="s">
        <v>85</v>
      </c>
      <c r="O5" s="83" t="s">
        <v>86</v>
      </c>
      <c r="P5" s="83"/>
    </row>
    <row r="6" spans="1:16">
      <c r="A6" s="72"/>
      <c r="B6" s="73"/>
      <c r="C6" s="64"/>
      <c r="D6" s="64"/>
      <c r="E6" s="64"/>
      <c r="F6" s="66"/>
      <c r="G6" s="67"/>
      <c r="H6" s="68"/>
      <c r="I6" s="68"/>
      <c r="J6" s="69"/>
      <c r="K6" s="69"/>
      <c r="L6" s="69"/>
      <c r="M6" s="69"/>
      <c r="N6" s="69"/>
      <c r="O6" s="69"/>
      <c r="P6" s="69"/>
    </row>
    <row r="7" spans="1:16">
      <c r="A7" s="84"/>
      <c r="B7" s="73"/>
      <c r="C7" s="64"/>
      <c r="D7" s="64" t="s">
        <v>81</v>
      </c>
      <c r="E7" s="64" t="s">
        <v>82</v>
      </c>
      <c r="F7" s="85"/>
      <c r="G7" s="85"/>
      <c r="H7" s="65"/>
      <c r="I7" s="65"/>
      <c r="J7" s="86"/>
      <c r="K7" s="87"/>
      <c r="L7" s="87"/>
      <c r="M7" s="87"/>
      <c r="N7" s="69"/>
      <c r="O7" s="88"/>
      <c r="P7" s="35"/>
    </row>
    <row r="8" spans="1:16">
      <c r="A8" s="89">
        <f>'Energy Use'!B16</f>
        <v>40735</v>
      </c>
      <c r="B8" s="90"/>
      <c r="C8" s="91"/>
      <c r="D8" s="104">
        <f>'Energy Use'!Q16</f>
        <v>3.5222159999999998</v>
      </c>
      <c r="E8" s="104">
        <f>'Energy Use'!D16</f>
        <v>1.4000000000000001</v>
      </c>
      <c r="F8" s="92">
        <f>CDD!B20</f>
        <v>309</v>
      </c>
      <c r="G8" s="92">
        <f>HDD!B20</f>
        <v>20</v>
      </c>
      <c r="H8" s="93"/>
      <c r="I8" s="93"/>
      <c r="J8" s="92"/>
      <c r="K8" s="94">
        <v>284</v>
      </c>
      <c r="L8" s="94">
        <v>3</v>
      </c>
      <c r="M8" s="88"/>
      <c r="N8" s="69"/>
      <c r="O8" s="95"/>
      <c r="P8" s="35"/>
    </row>
    <row r="9" spans="1:16">
      <c r="A9" s="89">
        <f>'Energy Use'!B17</f>
        <v>40766</v>
      </c>
      <c r="B9" s="73"/>
      <c r="C9" s="91"/>
      <c r="D9" s="104">
        <f>'Energy Use'!Q17</f>
        <v>7.5939249999999996</v>
      </c>
      <c r="E9" s="104">
        <f>'Energy Use'!D17</f>
        <v>1.6</v>
      </c>
      <c r="F9" s="92">
        <f>CDD!B21</f>
        <v>202</v>
      </c>
      <c r="G9" s="92">
        <f>HDD!B21</f>
        <v>31</v>
      </c>
      <c r="H9" s="65"/>
      <c r="I9" s="96"/>
      <c r="J9" s="97"/>
      <c r="K9" s="88">
        <v>193</v>
      </c>
      <c r="L9" s="88">
        <v>5</v>
      </c>
      <c r="M9" s="105">
        <f>0.0081*L9+0.7047</f>
        <v>0.74519999999999997</v>
      </c>
      <c r="N9" s="106">
        <f>D9+M9</f>
        <v>8.3391249999999992</v>
      </c>
      <c r="O9" s="109">
        <f>D9*'Energy Use'!$E$4+M9*'Energy Use'!$E$5</f>
        <v>26.1439339</v>
      </c>
      <c r="P9" s="8"/>
    </row>
    <row r="10" spans="1:16">
      <c r="A10" s="89">
        <f>'Energy Use'!B18</f>
        <v>40797</v>
      </c>
      <c r="B10" s="73"/>
      <c r="C10" s="91"/>
      <c r="D10" s="104">
        <f>'Energy Use'!Q18</f>
        <v>6.2423769999999994</v>
      </c>
      <c r="E10" s="104">
        <f>'Energy Use'!D18</f>
        <v>1.4000000000000001</v>
      </c>
      <c r="F10" s="92">
        <f>CDD!B22</f>
        <v>105</v>
      </c>
      <c r="G10" s="92">
        <f>HDD!B22</f>
        <v>108</v>
      </c>
      <c r="H10" s="65"/>
      <c r="I10" s="96"/>
      <c r="J10" s="97"/>
      <c r="K10" s="88">
        <v>53</v>
      </c>
      <c r="L10" s="88">
        <v>66</v>
      </c>
      <c r="M10" s="105">
        <f t="shared" ref="M10:M20" si="0">0.0081*L10+0.7047</f>
        <v>1.2393000000000001</v>
      </c>
      <c r="N10" s="106">
        <f t="shared" ref="N10:N20" si="1">D10+M10</f>
        <v>7.4816769999999995</v>
      </c>
      <c r="O10" s="109">
        <f>D10*'Energy Use'!$E$4+M10*'Energy Use'!$E$5</f>
        <v>22.147086279999996</v>
      </c>
      <c r="P10" s="8"/>
    </row>
    <row r="11" spans="1:16">
      <c r="A11" s="89">
        <f>'Energy Use'!B19</f>
        <v>40827</v>
      </c>
      <c r="B11" s="73"/>
      <c r="C11" s="91"/>
      <c r="D11" s="104">
        <f>'Energy Use'!Q19</f>
        <v>4.4505520000000001</v>
      </c>
      <c r="E11" s="104">
        <f>'Energy Use'!D19</f>
        <v>2.4000000000000004</v>
      </c>
      <c r="F11" s="92">
        <f>CDD!B23</f>
        <v>15</v>
      </c>
      <c r="G11" s="92">
        <f>HDD!B23</f>
        <v>418</v>
      </c>
      <c r="H11" s="65"/>
      <c r="I11" s="65"/>
      <c r="J11" s="85"/>
      <c r="K11" s="87">
        <v>9</v>
      </c>
      <c r="L11" s="87">
        <v>348</v>
      </c>
      <c r="M11" s="105">
        <f t="shared" si="0"/>
        <v>3.5234999999999999</v>
      </c>
      <c r="N11" s="106">
        <f t="shared" si="1"/>
        <v>7.9740520000000004</v>
      </c>
      <c r="O11" s="109">
        <f>D11*'Energy Use'!$E$4+M11*'Energy Use'!$E$5</f>
        <v>18.553948179999999</v>
      </c>
      <c r="P11" s="8"/>
    </row>
    <row r="12" spans="1:16">
      <c r="A12" s="89">
        <f>'Energy Use'!B20</f>
        <v>40858</v>
      </c>
      <c r="B12" s="73"/>
      <c r="C12" s="91"/>
      <c r="D12" s="104">
        <f>'Energy Use'!Q20</f>
        <v>3.597302</v>
      </c>
      <c r="E12" s="104">
        <f>'Energy Use'!D20</f>
        <v>5.8000000000000007</v>
      </c>
      <c r="F12" s="92">
        <f>CDD!B24</f>
        <v>2</v>
      </c>
      <c r="G12" s="92">
        <f>HDD!B24</f>
        <v>563</v>
      </c>
      <c r="H12" s="65"/>
      <c r="I12" s="65"/>
      <c r="J12" s="85"/>
      <c r="K12" s="87">
        <v>0</v>
      </c>
      <c r="L12" s="87">
        <v>652</v>
      </c>
      <c r="M12" s="105">
        <f t="shared" si="0"/>
        <v>5.9859</v>
      </c>
      <c r="N12" s="106">
        <f t="shared" si="1"/>
        <v>9.583202</v>
      </c>
      <c r="O12" s="109">
        <f>D12*'Energy Use'!$E$4+M12*'Energy Use'!$E$5</f>
        <v>18.28222598</v>
      </c>
      <c r="P12" s="8"/>
    </row>
    <row r="13" spans="1:16">
      <c r="A13" s="89">
        <f>'Energy Use'!B21</f>
        <v>40888</v>
      </c>
      <c r="B13" s="73"/>
      <c r="C13" s="91"/>
      <c r="D13" s="104">
        <f>'Energy Use'!Q21</f>
        <v>2.9693099999999997</v>
      </c>
      <c r="E13" s="104">
        <f>'Energy Use'!D21</f>
        <v>6.8000000000000007</v>
      </c>
      <c r="F13" s="92">
        <f>CDD!B25</f>
        <v>0</v>
      </c>
      <c r="G13" s="92">
        <f>HDD!B25</f>
        <v>882</v>
      </c>
      <c r="H13" s="65"/>
      <c r="I13" s="65"/>
      <c r="J13" s="85"/>
      <c r="K13" s="87">
        <v>0</v>
      </c>
      <c r="L13" s="87">
        <v>902</v>
      </c>
      <c r="M13" s="105">
        <f t="shared" si="0"/>
        <v>8.0108999999999995</v>
      </c>
      <c r="N13" s="106">
        <f t="shared" si="1"/>
        <v>10.98021</v>
      </c>
      <c r="O13" s="109">
        <f>D13*'Energy Use'!$E$4+M13*'Energy Use'!$E$5</f>
        <v>18.304907699999998</v>
      </c>
      <c r="P13" s="8"/>
    </row>
    <row r="14" spans="1:16">
      <c r="A14" s="89">
        <f>'Energy Use'!B22</f>
        <v>40920</v>
      </c>
      <c r="B14" s="73"/>
      <c r="C14" s="91"/>
      <c r="D14" s="104">
        <f>'Energy Use'!Q22</f>
        <v>3.8805809999999998</v>
      </c>
      <c r="E14" s="104">
        <f>'Energy Use'!D22</f>
        <v>9.6000000000000014</v>
      </c>
      <c r="F14" s="92">
        <f>CDD!B26</f>
        <v>0</v>
      </c>
      <c r="G14" s="92">
        <f>HDD!B26</f>
        <v>1053</v>
      </c>
      <c r="H14" s="65"/>
      <c r="I14" s="65"/>
      <c r="J14" s="85"/>
      <c r="K14" s="87">
        <v>0</v>
      </c>
      <c r="L14" s="87">
        <v>1189</v>
      </c>
      <c r="M14" s="105">
        <f t="shared" si="0"/>
        <v>10.335599999999999</v>
      </c>
      <c r="N14" s="106">
        <f t="shared" si="1"/>
        <v>14.216180999999999</v>
      </c>
      <c r="O14" s="109">
        <f>D14*'Energy Use'!$E$4+M14*'Energy Use'!$E$5</f>
        <v>23.782513739999999</v>
      </c>
      <c r="P14" s="8"/>
    </row>
    <row r="15" spans="1:16">
      <c r="A15" s="89">
        <f>'Energy Use'!B23</f>
        <v>40940</v>
      </c>
      <c r="B15" s="73"/>
      <c r="C15" s="91"/>
      <c r="D15" s="104">
        <f>'Energy Use'!Q23</f>
        <v>3.1501989999999997</v>
      </c>
      <c r="E15" s="104">
        <f>'Energy Use'!D23</f>
        <v>9.3000000000000007</v>
      </c>
      <c r="F15" s="92">
        <f>CDD!B27</f>
        <v>0</v>
      </c>
      <c r="G15" s="92">
        <f>HDD!B27</f>
        <v>895</v>
      </c>
      <c r="H15" s="65"/>
      <c r="I15" s="65"/>
      <c r="J15" s="85"/>
      <c r="K15" s="87">
        <v>0</v>
      </c>
      <c r="L15" s="87">
        <v>950</v>
      </c>
      <c r="M15" s="105">
        <f t="shared" si="0"/>
        <v>8.3996999999999993</v>
      </c>
      <c r="N15" s="106">
        <f t="shared" si="1"/>
        <v>11.549899</v>
      </c>
      <c r="O15" s="109">
        <f>D15*'Energy Use'!$E$4+M15*'Energy Use'!$E$5</f>
        <v>19.316150559999997</v>
      </c>
      <c r="P15" s="8"/>
    </row>
    <row r="16" spans="1:16">
      <c r="A16" s="89">
        <f>'Energy Use'!B24</f>
        <v>40969</v>
      </c>
      <c r="B16" s="73"/>
      <c r="C16" s="91"/>
      <c r="D16" s="104">
        <f>'Energy Use'!Q24</f>
        <v>2.8259639999999999</v>
      </c>
      <c r="E16" s="104">
        <f>'Energy Use'!D24</f>
        <v>5.7</v>
      </c>
      <c r="F16" s="92">
        <f>CDD!B28</f>
        <v>23</v>
      </c>
      <c r="G16" s="92">
        <f>HDD!B28</f>
        <v>652</v>
      </c>
      <c r="H16" s="65"/>
      <c r="I16" s="65"/>
      <c r="J16" s="85"/>
      <c r="K16" s="87">
        <v>0</v>
      </c>
      <c r="L16" s="87">
        <v>813</v>
      </c>
      <c r="M16" s="105">
        <f t="shared" si="0"/>
        <v>7.2899999999999991</v>
      </c>
      <c r="N16" s="106">
        <f t="shared" si="1"/>
        <v>10.115963999999998</v>
      </c>
      <c r="O16" s="109">
        <f>D16*'Energy Use'!$E$4+M16*'Energy Use'!$E$5</f>
        <v>17.071349759999997</v>
      </c>
      <c r="P16" s="8"/>
    </row>
    <row r="17" spans="1:16">
      <c r="A17" s="89">
        <f>'Energy Use'!B25</f>
        <v>41000</v>
      </c>
      <c r="B17" s="73"/>
      <c r="C17" s="91"/>
      <c r="D17" s="104">
        <f>'Energy Use'!Q25</f>
        <v>2.7713559999999999</v>
      </c>
      <c r="E17" s="104">
        <f>'Energy Use'!D25</f>
        <v>4.1000000000000005</v>
      </c>
      <c r="F17" s="92">
        <f>CDD!B29</f>
        <v>26</v>
      </c>
      <c r="G17" s="92">
        <f>HDD!B29</f>
        <v>463</v>
      </c>
      <c r="H17" s="65"/>
      <c r="I17" s="65"/>
      <c r="J17" s="85"/>
      <c r="K17" s="87">
        <v>9</v>
      </c>
      <c r="L17" s="87">
        <v>537</v>
      </c>
      <c r="M17" s="105">
        <f t="shared" si="0"/>
        <v>5.0543999999999993</v>
      </c>
      <c r="N17" s="106">
        <f t="shared" si="1"/>
        <v>7.8257559999999993</v>
      </c>
      <c r="O17" s="109">
        <f>D17*'Energy Use'!$E$4+M17*'Energy Use'!$E$5</f>
        <v>14.548285839999998</v>
      </c>
      <c r="P17" s="8"/>
    </row>
    <row r="18" spans="1:16">
      <c r="A18" s="89">
        <f>'Energy Use'!B26</f>
        <v>41030</v>
      </c>
      <c r="B18" s="73"/>
      <c r="C18" s="91"/>
      <c r="D18" s="104">
        <f>'Energy Use'!Q26</f>
        <v>2.9966139999999997</v>
      </c>
      <c r="E18" s="104">
        <f>'Energy Use'!D26</f>
        <v>2.8000000000000003</v>
      </c>
      <c r="F18" s="92">
        <f>CDD!B30</f>
        <v>60</v>
      </c>
      <c r="G18" s="92">
        <f>HDD!B30</f>
        <v>208</v>
      </c>
      <c r="H18" s="65"/>
      <c r="I18" s="65"/>
      <c r="J18" s="85"/>
      <c r="K18" s="87">
        <v>30</v>
      </c>
      <c r="L18" s="87">
        <v>204</v>
      </c>
      <c r="M18" s="105">
        <f t="shared" si="0"/>
        <v>2.3571</v>
      </c>
      <c r="N18" s="106">
        <f t="shared" si="1"/>
        <v>5.3537140000000001</v>
      </c>
      <c r="O18" s="109">
        <f>D18*'Energy Use'!$E$4+M18*'Energy Use'!$E$5</f>
        <v>12.476574459999998</v>
      </c>
      <c r="P18" s="8"/>
    </row>
    <row r="19" spans="1:16">
      <c r="A19" s="89">
        <f>'Energy Use'!B27</f>
        <v>41061</v>
      </c>
      <c r="B19" s="73"/>
      <c r="C19" s="91"/>
      <c r="D19" s="104">
        <f>'Energy Use'!Q27</f>
        <v>3.2286979999999996</v>
      </c>
      <c r="E19" s="104">
        <f>'Energy Use'!D27</f>
        <v>1.5</v>
      </c>
      <c r="F19" s="92">
        <f>CDD!B31</f>
        <v>128</v>
      </c>
      <c r="G19" s="92">
        <f>HDD!B31</f>
        <v>121</v>
      </c>
      <c r="H19" s="65"/>
      <c r="I19" s="65"/>
      <c r="J19" s="85"/>
      <c r="K19" s="87">
        <v>116</v>
      </c>
      <c r="L19" s="87">
        <v>87</v>
      </c>
      <c r="M19" s="105">
        <f t="shared" si="0"/>
        <v>1.4094</v>
      </c>
      <c r="N19" s="106">
        <f t="shared" si="1"/>
        <v>4.6380979999999994</v>
      </c>
      <c r="O19" s="109">
        <f>D19*'Energy Use'!$E$4+M19*'Energy Use'!$E$5</f>
        <v>12.259493119999998</v>
      </c>
      <c r="P19" s="8"/>
    </row>
    <row r="20" spans="1:16">
      <c r="A20" s="89">
        <f>'Energy Use'!B28</f>
        <v>41101</v>
      </c>
      <c r="B20" s="90"/>
      <c r="C20" s="91"/>
      <c r="D20" s="104">
        <f>'Energy Use'!Q28</f>
        <v>4.7440699999999998</v>
      </c>
      <c r="E20" s="104">
        <f>'Energy Use'!D28</f>
        <v>1.3</v>
      </c>
      <c r="F20" s="92">
        <f>CDD!B32</f>
        <v>291</v>
      </c>
      <c r="G20" s="92">
        <f>HDD!B32</f>
        <v>22</v>
      </c>
      <c r="H20" s="93"/>
      <c r="I20" s="93"/>
      <c r="J20" s="92"/>
      <c r="K20" s="94">
        <v>284</v>
      </c>
      <c r="L20" s="94">
        <v>3</v>
      </c>
      <c r="M20" s="107">
        <f t="shared" si="0"/>
        <v>0.72899999999999998</v>
      </c>
      <c r="N20" s="108">
        <f t="shared" si="1"/>
        <v>5.4730699999999999</v>
      </c>
      <c r="O20" s="104">
        <f>D20*'Energy Use'!$E$4+M20*'Energy Use'!$E$5</f>
        <v>16.608456799999999</v>
      </c>
      <c r="P20" s="8"/>
    </row>
    <row r="21" spans="1:16">
      <c r="A21" s="98"/>
      <c r="B21" s="73"/>
      <c r="C21" s="64"/>
      <c r="D21" s="64"/>
      <c r="E21" s="64"/>
      <c r="F21" s="85"/>
      <c r="G21" s="85"/>
      <c r="H21" s="65"/>
      <c r="I21" s="65"/>
      <c r="J21" s="85"/>
      <c r="K21" s="88"/>
      <c r="L21" s="88"/>
      <c r="M21" s="99"/>
      <c r="N21" s="106">
        <f>SUM(N9:N20)</f>
        <v>103.530948</v>
      </c>
      <c r="O21" s="110">
        <f>SUM(O9:O20)</f>
        <v>219.49492631999999</v>
      </c>
      <c r="P21" s="8"/>
    </row>
    <row r="22" spans="1:16">
      <c r="A22" s="98"/>
      <c r="B22" s="73"/>
      <c r="C22" s="64"/>
      <c r="D22" s="64"/>
      <c r="E22" s="64"/>
      <c r="F22" s="85"/>
      <c r="G22" s="85"/>
      <c r="H22" s="65"/>
      <c r="I22" s="65"/>
      <c r="J22" s="85"/>
      <c r="K22" s="87"/>
      <c r="L22" s="87"/>
      <c r="M22" s="99"/>
      <c r="N22" s="106">
        <f>SUM(D9:D20)+SUM(E9:E20)</f>
        <v>100.75094799999999</v>
      </c>
      <c r="O22" s="102"/>
      <c r="P22" s="103"/>
    </row>
    <row r="23" spans="1:16">
      <c r="A23" s="98"/>
      <c r="B23" s="73"/>
      <c r="C23" s="64"/>
      <c r="D23" s="64"/>
      <c r="E23" s="64"/>
      <c r="F23" s="85"/>
      <c r="G23" s="85"/>
      <c r="H23" s="65"/>
      <c r="I23" s="65"/>
      <c r="J23" s="85"/>
      <c r="K23" s="87"/>
      <c r="L23" s="87"/>
      <c r="M23" s="100"/>
      <c r="N23" s="69"/>
      <c r="O23" s="102"/>
      <c r="P23" s="103"/>
    </row>
    <row r="24" spans="1:16">
      <c r="M24" s="101"/>
      <c r="N24" s="101">
        <f>(N22-N21)/N22</f>
        <v>-2.7592792476751695E-2</v>
      </c>
    </row>
  </sheetData>
  <mergeCells count="1">
    <mergeCell ref="J4:L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Pre-retrofit</vt:lpstr>
      <vt:lpstr>Gas</vt:lpstr>
      <vt:lpstr>Elec</vt:lpstr>
      <vt:lpstr>Energy Use</vt:lpstr>
      <vt:lpstr>HDD</vt:lpstr>
      <vt:lpstr>CDD</vt:lpstr>
      <vt:lpstr>Weather Lin Regr Analysis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</dc:creator>
  <cp:lastModifiedBy>Cathy</cp:lastModifiedBy>
  <dcterms:created xsi:type="dcterms:W3CDTF">2011-09-05T16:23:18Z</dcterms:created>
  <dcterms:modified xsi:type="dcterms:W3CDTF">2013-03-15T16:21:11Z</dcterms:modified>
</cp:coreProperties>
</file>