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3"/>
  </bookViews>
  <sheets>
    <sheet name="Pre-Retrofit" sheetId="9" r:id="rId1"/>
    <sheet name="Propane" sheetId="1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</workbook>
</file>

<file path=xl/calcChain.xml><?xml version="1.0" encoding="utf-8"?>
<calcChain xmlns="http://schemas.openxmlformats.org/spreadsheetml/2006/main">
  <c r="R34" i="8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S23" l="1"/>
  <c r="S24"/>
  <c r="S25"/>
  <c r="S26"/>
  <c r="S27"/>
  <c r="S28"/>
  <c r="S29"/>
  <c r="S30"/>
  <c r="S31"/>
  <c r="S32"/>
  <c r="S33"/>
  <c r="S34"/>
  <c r="P64" i="9"/>
  <c r="O64"/>
  <c r="M64"/>
  <c r="L64"/>
  <c r="F23"/>
  <c r="F21"/>
  <c r="E21"/>
  <c r="C23" i="8"/>
  <c r="C24"/>
  <c r="C25"/>
  <c r="C26"/>
  <c r="C27"/>
  <c r="C28"/>
  <c r="C29"/>
  <c r="C30"/>
  <c r="C31"/>
  <c r="C32"/>
  <c r="C33"/>
  <c r="C34"/>
  <c r="M20" i="3"/>
  <c r="M19"/>
  <c r="M18"/>
  <c r="M17"/>
  <c r="M16"/>
  <c r="M15"/>
  <c r="M14"/>
  <c r="M13"/>
  <c r="M12"/>
  <c r="M11"/>
  <c r="M10"/>
  <c r="M9"/>
  <c r="C22" i="8"/>
  <c r="S22"/>
  <c r="G20" i="3"/>
  <c r="G19"/>
  <c r="G18"/>
  <c r="G17"/>
  <c r="G16"/>
  <c r="G15"/>
  <c r="G14"/>
  <c r="G13"/>
  <c r="G12"/>
  <c r="G11"/>
  <c r="G10"/>
  <c r="G9"/>
  <c r="G8"/>
  <c r="F20"/>
  <c r="F19"/>
  <c r="F18"/>
  <c r="F17"/>
  <c r="F16"/>
  <c r="F15"/>
  <c r="F14"/>
  <c r="F13"/>
  <c r="F12"/>
  <c r="F11"/>
  <c r="F10"/>
  <c r="F9"/>
  <c r="F8"/>
  <c r="A20"/>
  <c r="A19"/>
  <c r="A18"/>
  <c r="A17"/>
  <c r="A16"/>
  <c r="A15"/>
  <c r="A14"/>
  <c r="A13"/>
  <c r="A12"/>
  <c r="A11"/>
  <c r="A10"/>
  <c r="A9"/>
  <c r="A8"/>
  <c r="F4"/>
  <c r="C44" i="8"/>
  <c r="B28" i="1"/>
  <c r="B27"/>
  <c r="D30" i="2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Y72" i="9"/>
  <c r="X72"/>
  <c r="V72"/>
  <c r="U72"/>
  <c r="J72"/>
  <c r="E63"/>
  <c r="C72"/>
  <c r="E62"/>
  <c r="E61"/>
  <c r="E60"/>
  <c r="E59"/>
  <c r="D72"/>
  <c r="G72"/>
  <c r="L72"/>
  <c r="M72"/>
  <c r="E72"/>
  <c r="H72"/>
  <c r="J34" i="8"/>
  <c r="J33"/>
  <c r="J32"/>
  <c r="J31"/>
  <c r="K31" s="1"/>
  <c r="L31" s="1"/>
  <c r="J30"/>
  <c r="J29"/>
  <c r="J28"/>
  <c r="J27"/>
  <c r="K27" s="1"/>
  <c r="L27" s="1"/>
  <c r="J26"/>
  <c r="J25"/>
  <c r="J24"/>
  <c r="J23"/>
  <c r="K23" s="1"/>
  <c r="L23" s="1"/>
  <c r="J22"/>
  <c r="J21"/>
  <c r="J20"/>
  <c r="J19"/>
  <c r="K19" s="1"/>
  <c r="L19" s="1"/>
  <c r="J18"/>
  <c r="J17"/>
  <c r="J16"/>
  <c r="J15"/>
  <c r="K15" s="1"/>
  <c r="L15" s="1"/>
  <c r="J14"/>
  <c r="E5"/>
  <c r="K20" s="1"/>
  <c r="L20" s="1"/>
  <c r="E4"/>
  <c r="K34"/>
  <c r="L34" s="1"/>
  <c r="K17"/>
  <c r="L17" s="1"/>
  <c r="K21"/>
  <c r="L21" s="1"/>
  <c r="K25"/>
  <c r="L25" s="1"/>
  <c r="K29"/>
  <c r="K33"/>
  <c r="L33" s="1"/>
  <c r="K16"/>
  <c r="K24"/>
  <c r="L24" s="1"/>
  <c r="K32"/>
  <c r="O54" i="9"/>
  <c r="O72"/>
  <c r="B41"/>
  <c r="H2"/>
  <c r="Q54" i="1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P56"/>
  <c r="L42"/>
  <c r="B43"/>
  <c r="G57"/>
  <c r="G53"/>
  <c r="G49"/>
  <c r="G44"/>
  <c r="C12"/>
  <c r="C11"/>
  <c r="C10"/>
  <c r="C9"/>
  <c r="C8"/>
  <c r="C7"/>
  <c r="H2"/>
  <c r="G29" i="2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B12" i="1"/>
  <c r="B11"/>
  <c r="B10"/>
  <c r="B9"/>
  <c r="B8"/>
  <c r="G39"/>
  <c r="G38"/>
  <c r="G37"/>
  <c r="G36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8"/>
  <c r="D7"/>
  <c r="D9"/>
  <c r="Z34" i="8"/>
  <c r="Y34"/>
  <c r="Z33"/>
  <c r="Y33"/>
  <c r="Z32"/>
  <c r="Y32"/>
  <c r="Z31"/>
  <c r="Y31"/>
  <c r="Z30"/>
  <c r="Y30"/>
  <c r="Z29"/>
  <c r="Y29"/>
  <c r="Z28"/>
  <c r="Y28"/>
  <c r="Z27"/>
  <c r="Y27"/>
  <c r="Z26"/>
  <c r="Y26"/>
  <c r="Z25"/>
  <c r="Y25"/>
  <c r="Z24"/>
  <c r="Y24"/>
  <c r="Z23"/>
  <c r="Y23"/>
  <c r="Z22"/>
  <c r="Y22"/>
  <c r="Z21"/>
  <c r="Y21"/>
  <c r="Z20"/>
  <c r="Y20"/>
  <c r="Z19"/>
  <c r="Y19"/>
  <c r="Z18"/>
  <c r="Y18"/>
  <c r="Z17"/>
  <c r="Y17"/>
  <c r="Z16"/>
  <c r="Y16"/>
  <c r="Z15"/>
  <c r="Y15"/>
  <c r="Z14"/>
  <c r="Y14"/>
  <c r="Z13"/>
  <c r="Y13"/>
  <c r="S15"/>
  <c r="S14"/>
  <c r="S13"/>
  <c r="G30" i="2"/>
  <c r="D30" i="1"/>
  <c r="D29"/>
  <c r="D41"/>
  <c r="D40"/>
  <c r="G55"/>
  <c r="C28"/>
  <c r="D39"/>
  <c r="G51"/>
  <c r="B24"/>
  <c r="C24"/>
  <c r="D38"/>
  <c r="G47"/>
  <c r="B20"/>
  <c r="C20"/>
  <c r="D37"/>
  <c r="G43"/>
  <c r="B16"/>
  <c r="C16"/>
  <c r="D36"/>
  <c r="S21" i="8"/>
  <c r="S20"/>
  <c r="S19"/>
  <c r="S18"/>
  <c r="S17"/>
  <c r="S16"/>
  <c r="U17"/>
  <c r="E2"/>
  <c r="E3"/>
  <c r="E1" s="1"/>
  <c r="C29" i="1"/>
  <c r="W15" i="8"/>
  <c r="U21"/>
  <c r="U16"/>
  <c r="U20"/>
  <c r="L32"/>
  <c r="L16"/>
  <c r="R72" i="9"/>
  <c r="P72"/>
  <c r="G54" i="1"/>
  <c r="C27"/>
  <c r="B26"/>
  <c r="C26"/>
  <c r="G50"/>
  <c r="B23"/>
  <c r="C23"/>
  <c r="G52"/>
  <c r="B25"/>
  <c r="C25"/>
  <c r="B22"/>
  <c r="C22"/>
  <c r="B17"/>
  <c r="C17"/>
  <c r="G46"/>
  <c r="B19"/>
  <c r="C19"/>
  <c r="G48"/>
  <c r="B21"/>
  <c r="C21"/>
  <c r="G45"/>
  <c r="B18"/>
  <c r="C18"/>
  <c r="G40"/>
  <c r="B13"/>
  <c r="C13"/>
  <c r="G42"/>
  <c r="B15"/>
  <c r="C15"/>
  <c r="G41"/>
  <c r="B14"/>
  <c r="C14"/>
  <c r="C17" i="8"/>
  <c r="C16"/>
  <c r="D16" s="1"/>
  <c r="C15"/>
  <c r="C13"/>
  <c r="D13" s="1"/>
  <c r="C21"/>
  <c r="C19"/>
  <c r="D19" s="1"/>
  <c r="S72" i="9"/>
  <c r="C18" i="8"/>
  <c r="D18" s="1"/>
  <c r="E18" s="1"/>
  <c r="C14"/>
  <c r="D14" s="1"/>
  <c r="E14" s="1"/>
  <c r="C20"/>
  <c r="D20" s="1"/>
  <c r="E20" s="1"/>
  <c r="W21"/>
  <c r="W16"/>
  <c r="X20" l="1"/>
  <c r="AF20" s="1"/>
  <c r="X21"/>
  <c r="K28"/>
  <c r="L28" s="1"/>
  <c r="O28" s="1"/>
  <c r="K14"/>
  <c r="K18"/>
  <c r="N18" s="1"/>
  <c r="W33"/>
  <c r="D19" i="3" s="1"/>
  <c r="X17" i="8"/>
  <c r="N32"/>
  <c r="N16"/>
  <c r="N27"/>
  <c r="N19"/>
  <c r="G14"/>
  <c r="N28"/>
  <c r="N31"/>
  <c r="N23"/>
  <c r="N15"/>
  <c r="G20"/>
  <c r="H14"/>
  <c r="U19"/>
  <c r="X19" s="1"/>
  <c r="W19"/>
  <c r="O16"/>
  <c r="O32"/>
  <c r="U14"/>
  <c r="X14" s="1"/>
  <c r="AF14" s="1"/>
  <c r="O24"/>
  <c r="O27"/>
  <c r="O19"/>
  <c r="O33"/>
  <c r="O25"/>
  <c r="O21"/>
  <c r="O17"/>
  <c r="O34"/>
  <c r="D33"/>
  <c r="D31"/>
  <c r="E17" i="3" s="1"/>
  <c r="D27" i="8"/>
  <c r="D25"/>
  <c r="E25" s="1"/>
  <c r="U30"/>
  <c r="X30" s="1"/>
  <c r="H20"/>
  <c r="O20"/>
  <c r="X16"/>
  <c r="N20"/>
  <c r="O31"/>
  <c r="O15"/>
  <c r="K22"/>
  <c r="N22" s="1"/>
  <c r="K26"/>
  <c r="N26" s="1"/>
  <c r="K30"/>
  <c r="K35" s="1"/>
  <c r="L35" s="1"/>
  <c r="W22"/>
  <c r="D8" i="3" s="1"/>
  <c r="D34" i="8"/>
  <c r="E34" s="1"/>
  <c r="D32"/>
  <c r="E18" i="3" s="1"/>
  <c r="D30" i="8"/>
  <c r="E16" i="3" s="1"/>
  <c r="D28" i="8"/>
  <c r="E14" i="3" s="1"/>
  <c r="D26" i="8"/>
  <c r="E12" i="3" s="1"/>
  <c r="D24" i="8"/>
  <c r="E10" i="3" s="1"/>
  <c r="W31" i="8"/>
  <c r="D17" i="3" s="1"/>
  <c r="H18" i="8"/>
  <c r="W13"/>
  <c r="U13"/>
  <c r="X13" s="1"/>
  <c r="L14"/>
  <c r="N14"/>
  <c r="AB14" s="1"/>
  <c r="L18"/>
  <c r="O18" s="1"/>
  <c r="L22"/>
  <c r="O22" s="1"/>
  <c r="L26"/>
  <c r="O26" s="1"/>
  <c r="L30"/>
  <c r="O30" s="1"/>
  <c r="E20" i="3"/>
  <c r="G34" i="8"/>
  <c r="G32"/>
  <c r="AB32" s="1"/>
  <c r="G30"/>
  <c r="E28"/>
  <c r="H28" s="1"/>
  <c r="E26"/>
  <c r="H26" s="1"/>
  <c r="AC26" s="1"/>
  <c r="G24"/>
  <c r="AB24" s="1"/>
  <c r="U32"/>
  <c r="X32" s="1"/>
  <c r="W32"/>
  <c r="D18" i="3" s="1"/>
  <c r="W14" i="8"/>
  <c r="U18"/>
  <c r="X18" s="1"/>
  <c r="W18"/>
  <c r="E19" i="3"/>
  <c r="E33" i="8"/>
  <c r="AE33"/>
  <c r="G33"/>
  <c r="AE31"/>
  <c r="E13" i="3"/>
  <c r="E27" i="8"/>
  <c r="H27" s="1"/>
  <c r="AC27" s="1"/>
  <c r="G27"/>
  <c r="E11" i="3"/>
  <c r="N11" s="1"/>
  <c r="U34" i="8"/>
  <c r="X34" s="1"/>
  <c r="W34"/>
  <c r="D20" i="3" s="1"/>
  <c r="W30" i="8"/>
  <c r="D16" i="3" s="1"/>
  <c r="AE14" i="8"/>
  <c r="C38"/>
  <c r="D38" s="1"/>
  <c r="U15"/>
  <c r="X15" s="1"/>
  <c r="U31"/>
  <c r="X31" s="1"/>
  <c r="U33"/>
  <c r="X33" s="1"/>
  <c r="G18"/>
  <c r="AE18"/>
  <c r="W20"/>
  <c r="AE20" s="1"/>
  <c r="D21"/>
  <c r="E21" s="1"/>
  <c r="D15"/>
  <c r="D17"/>
  <c r="E17" s="1"/>
  <c r="O23"/>
  <c r="N34"/>
  <c r="N17"/>
  <c r="N21"/>
  <c r="N25"/>
  <c r="N29"/>
  <c r="N33"/>
  <c r="N24"/>
  <c r="L29"/>
  <c r="O29" s="1"/>
  <c r="C40"/>
  <c r="D40" s="1"/>
  <c r="E40" s="1"/>
  <c r="C45"/>
  <c r="D22"/>
  <c r="E8" i="3" s="1"/>
  <c r="D29" i="8"/>
  <c r="D23"/>
  <c r="D36" s="1"/>
  <c r="U29"/>
  <c r="X29" s="1"/>
  <c r="U28"/>
  <c r="X28" s="1"/>
  <c r="AF28" s="1"/>
  <c r="U27"/>
  <c r="X27" s="1"/>
  <c r="U26"/>
  <c r="X26" s="1"/>
  <c r="AF26" s="1"/>
  <c r="U25"/>
  <c r="X25" s="1"/>
  <c r="U24"/>
  <c r="X24" s="1"/>
  <c r="U23"/>
  <c r="X23" s="1"/>
  <c r="L36"/>
  <c r="U22"/>
  <c r="X22" s="1"/>
  <c r="G21"/>
  <c r="AB21" s="1"/>
  <c r="AE15"/>
  <c r="E15"/>
  <c r="G15"/>
  <c r="AB15" s="1"/>
  <c r="G17"/>
  <c r="AB17" s="1"/>
  <c r="O14"/>
  <c r="G22"/>
  <c r="P20" i="3"/>
  <c r="N20"/>
  <c r="N19"/>
  <c r="P19"/>
  <c r="N13"/>
  <c r="P13"/>
  <c r="P11"/>
  <c r="R38" i="8"/>
  <c r="W38" s="1"/>
  <c r="X38" s="1"/>
  <c r="R44"/>
  <c r="W29"/>
  <c r="W35" s="1"/>
  <c r="W27"/>
  <c r="W25"/>
  <c r="R41"/>
  <c r="R42"/>
  <c r="W23"/>
  <c r="R45"/>
  <c r="AE19"/>
  <c r="G19"/>
  <c r="E19"/>
  <c r="E13"/>
  <c r="AE13"/>
  <c r="G13"/>
  <c r="AB13" s="1"/>
  <c r="E16"/>
  <c r="AE16"/>
  <c r="G16"/>
  <c r="AB16" s="1"/>
  <c r="W17"/>
  <c r="G40"/>
  <c r="E38"/>
  <c r="AF38" s="1"/>
  <c r="W28"/>
  <c r="W26"/>
  <c r="W24"/>
  <c r="P10" i="3" l="1"/>
  <c r="N10"/>
  <c r="P14"/>
  <c r="N14"/>
  <c r="P18"/>
  <c r="N18"/>
  <c r="AF24" i="8"/>
  <c r="AB20"/>
  <c r="AE17"/>
  <c r="AB19"/>
  <c r="AF27"/>
  <c r="E23"/>
  <c r="G25"/>
  <c r="AB25" s="1"/>
  <c r="E31"/>
  <c r="AF18"/>
  <c r="E24"/>
  <c r="H24" s="1"/>
  <c r="AC24" s="1"/>
  <c r="G28"/>
  <c r="AB28" s="1"/>
  <c r="E32"/>
  <c r="AC20"/>
  <c r="AC28"/>
  <c r="N12" i="3"/>
  <c r="P12"/>
  <c r="N16"/>
  <c r="P16"/>
  <c r="H25" i="8"/>
  <c r="AC25" s="1"/>
  <c r="AF25"/>
  <c r="P17" i="3"/>
  <c r="N17"/>
  <c r="G23" i="8"/>
  <c r="AB23" s="1"/>
  <c r="E9" i="3"/>
  <c r="E22" i="8"/>
  <c r="H22" s="1"/>
  <c r="AC22" s="1"/>
  <c r="AC14"/>
  <c r="X36"/>
  <c r="X35"/>
  <c r="AB18"/>
  <c r="K36"/>
  <c r="AB27"/>
  <c r="G31"/>
  <c r="AB31" s="1"/>
  <c r="G26"/>
  <c r="E30"/>
  <c r="AF30" s="1"/>
  <c r="AE34"/>
  <c r="N30"/>
  <c r="AB22"/>
  <c r="AB30"/>
  <c r="D9" i="3"/>
  <c r="W36" i="8"/>
  <c r="E15" i="3"/>
  <c r="D35" i="8"/>
  <c r="E29"/>
  <c r="G29"/>
  <c r="AB29" s="1"/>
  <c r="AF31"/>
  <c r="H31"/>
  <c r="AC31" s="1"/>
  <c r="AF33"/>
  <c r="H33"/>
  <c r="AC33" s="1"/>
  <c r="AE22"/>
  <c r="AE21"/>
  <c r="L47"/>
  <c r="AB33"/>
  <c r="AE30"/>
  <c r="AE32"/>
  <c r="AB34"/>
  <c r="AE36"/>
  <c r="E36"/>
  <c r="H30"/>
  <c r="AC30" s="1"/>
  <c r="H32"/>
  <c r="AC32" s="1"/>
  <c r="AF32"/>
  <c r="H34"/>
  <c r="AC34" s="1"/>
  <c r="AF34"/>
  <c r="AB26"/>
  <c r="AC18"/>
  <c r="AF13"/>
  <c r="H13"/>
  <c r="AC13" s="1"/>
  <c r="D10" i="3"/>
  <c r="AE24" i="8"/>
  <c r="D14" i="3"/>
  <c r="AE28" i="8"/>
  <c r="H40"/>
  <c r="AF16"/>
  <c r="H16"/>
  <c r="AC16" s="1"/>
  <c r="H19"/>
  <c r="AC19" s="1"/>
  <c r="AF19"/>
  <c r="D11" i="3"/>
  <c r="AE25" i="8"/>
  <c r="H23"/>
  <c r="AC23" s="1"/>
  <c r="AF23"/>
  <c r="AF22"/>
  <c r="AF17"/>
  <c r="H17"/>
  <c r="AC17" s="1"/>
  <c r="AF15"/>
  <c r="H15"/>
  <c r="AC15" s="1"/>
  <c r="H21"/>
  <c r="AC21" s="1"/>
  <c r="AF21"/>
  <c r="AE38"/>
  <c r="X47"/>
  <c r="AE23"/>
  <c r="D12" i="3"/>
  <c r="AE26" i="8"/>
  <c r="D13" i="3"/>
  <c r="AE27" i="8"/>
  <c r="D15" i="3"/>
  <c r="AE29" i="8"/>
  <c r="N9" i="3"/>
  <c r="P9"/>
  <c r="R40" i="8"/>
  <c r="W40" s="1"/>
  <c r="AB47" l="1"/>
  <c r="AB45"/>
  <c r="N22" i="3"/>
  <c r="AB49" i="8"/>
  <c r="AE49"/>
  <c r="AE45"/>
  <c r="E47"/>
  <c r="H29"/>
  <c r="AC29" s="1"/>
  <c r="AC49" s="1"/>
  <c r="AF29"/>
  <c r="AF49" s="1"/>
  <c r="P15" i="3"/>
  <c r="N15"/>
  <c r="P21"/>
  <c r="E35" i="8"/>
  <c r="AF35" s="1"/>
  <c r="AE35"/>
  <c r="N21" i="3"/>
  <c r="N24" s="1"/>
  <c r="X40" i="8"/>
  <c r="AF40" s="1"/>
  <c r="AE40"/>
  <c r="AF45"/>
  <c r="AE47"/>
  <c r="AC45" l="1"/>
  <c r="AC47"/>
  <c r="AF47"/>
</calcChain>
</file>

<file path=xl/comments1.xml><?xml version="1.0" encoding="utf-8"?>
<comments xmlns="http://schemas.openxmlformats.org/spreadsheetml/2006/main">
  <authors>
    <author>Cathy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2011 as estimates because there has been no propane delivery to provide actual for Jun and Jul 2012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Cathy: 
</t>
        </r>
        <r>
          <rPr>
            <sz val="9"/>
            <color indexed="81"/>
            <rFont val="Tahoma"/>
            <family val="2"/>
          </rPr>
          <t>Used 2011 as estimates because there have been no propane deliveries to provide actual for Jun and Jul 12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Cathy</author>
  </authors>
  <commentList>
    <comment ref="C40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Propane is only used for DHW so belongs to "other" rather than heating/cooling; use monthly average</t>
        </r>
      </text>
    </comment>
  </commentList>
</comments>
</file>

<file path=xl/sharedStrings.xml><?xml version="1.0" encoding="utf-8"?>
<sst xmlns="http://schemas.openxmlformats.org/spreadsheetml/2006/main" count="213" uniqueCount="137">
  <si>
    <t>HDD</t>
  </si>
  <si>
    <t>Electricity used</t>
  </si>
  <si>
    <t>(negative)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</si>
  <si>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</si>
  <si>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</si>
  <si>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</si>
  <si>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</si>
  <si>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</si>
  <si>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</si>
  <si>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</si>
  <si>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</si>
  <si>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</si>
  <si>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</si>
  <si>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Station ID: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</si>
  <si>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</si>
  <si>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</si>
  <si>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</si>
  <si>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</si>
  <si>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</si>
  <si>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</si>
  <si>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</si>
  <si>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</si>
  <si>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</si>
  <si>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</si>
  <si>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</si>
  <si>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</si>
  <si>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</si>
  <si>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</si>
  <si>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</si>
  <si>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</si>
  <si>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</si>
  <si>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</si>
  <si>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fuel  per day before delivery</t>
  </si>
  <si>
    <t>Gallons</t>
  </si>
  <si>
    <t>MMBtu</t>
  </si>
  <si>
    <t>Home</t>
  </si>
  <si>
    <t>propane source/site</t>
  </si>
  <si>
    <t>WORCESTER REGIONAL AIRPORT, MA, US (71.88W,42.27N)</t>
  </si>
  <si>
    <t>KORH</t>
  </si>
  <si>
    <t>Millbury Single Family</t>
  </si>
  <si>
    <t>Tweedly</t>
  </si>
  <si>
    <t>Worcester</t>
  </si>
  <si>
    <t>Millbury Single Family Home</t>
  </si>
  <si>
    <t>Propane gal to MMBtu</t>
  </si>
  <si>
    <t xml:space="preserve">Tweedly Propane Deliveries </t>
  </si>
  <si>
    <t>Oct 10- Dec 10</t>
  </si>
  <si>
    <t>Del date</t>
  </si>
  <si>
    <t>Period of use</t>
  </si>
  <si>
    <t># of bags</t>
  </si>
  <si>
    <t># of gal</t>
  </si>
  <si>
    <t>Jan 11 - Feb 11</t>
  </si>
  <si>
    <t>Mar 11 - Aug 11</t>
  </si>
  <si>
    <t>Nov 11 - Dec 11</t>
  </si>
  <si>
    <t>Sep 11 - Oct 11</t>
  </si>
  <si>
    <t>Jan 12 - Jun 12</t>
  </si>
  <si>
    <t>End of month</t>
  </si>
  <si>
    <t>Pellet use per month -- did this just by common sense</t>
  </si>
  <si>
    <t># of 40 lb bags</t>
  </si>
  <si>
    <t>From NREL 2011 8.3.1</t>
  </si>
  <si>
    <t>kBtu</t>
  </si>
  <si>
    <t>Kbtus</t>
  </si>
  <si>
    <t>1lb of pellets in kBtu</t>
  </si>
  <si>
    <t>lbs per bag</t>
  </si>
  <si>
    <t>Propane use per month post retrofit</t>
  </si>
  <si>
    <t>Tweedley pellet usage post retrofit</t>
  </si>
  <si>
    <t>Meter Read</t>
  </si>
  <si>
    <t>kwh</t>
  </si>
  <si>
    <t>Tweedly Oil Deliveries pre-retrofit</t>
  </si>
  <si>
    <t>from Karen's word document</t>
  </si>
  <si>
    <t>2009-2010</t>
  </si>
  <si>
    <t>cost</t>
  </si>
  <si>
    <t>gallons of oil</t>
  </si>
  <si>
    <t>Electricity</t>
  </si>
  <si>
    <t>kWh</t>
  </si>
  <si>
    <t>bags of pellets</t>
  </si>
  <si>
    <t>SUM</t>
  </si>
  <si>
    <t>HEATING from Karen's word doc</t>
  </si>
  <si>
    <t>ELECTRICITY IS FROM 2011 USAGE FROM NATIONAL GRID</t>
  </si>
  <si>
    <t>Rosie's from 2011 included too</t>
  </si>
  <si>
    <t xml:space="preserve">much construction time so I </t>
  </si>
  <si>
    <t>moved to an earlier year</t>
  </si>
  <si>
    <t>May 2009 - April 2010</t>
  </si>
  <si>
    <t>Pre-retrofit for 2012 REPORT</t>
  </si>
  <si>
    <t>Tweedly Pre-Retrofit Elec Usage from Application</t>
  </si>
  <si>
    <t>From Application; not using this; use info from Karen instead</t>
  </si>
  <si>
    <t>Propane gal to Mbtu</t>
  </si>
  <si>
    <t>Retrofit complete</t>
  </si>
  <si>
    <t>40 lb pellet bag to Mbtu</t>
  </si>
  <si>
    <t>pellet source /site</t>
  </si>
  <si>
    <t>40# pellets</t>
  </si>
  <si>
    <t xml:space="preserve">site kwh </t>
  </si>
  <si>
    <t>Propane used</t>
  </si>
  <si>
    <t>Pellets used</t>
  </si>
  <si>
    <t xml:space="preserve">Period </t>
  </si>
  <si>
    <t>heating oil source/site</t>
  </si>
  <si>
    <t>gal oil to Mbtu</t>
  </si>
  <si>
    <t>May 09 - Apr 10</t>
  </si>
  <si>
    <t>oil used</t>
  </si>
  <si>
    <t>pellets used</t>
  </si>
  <si>
    <t>pellet source/site</t>
  </si>
  <si>
    <t>Mbtu</t>
  </si>
  <si>
    <t>site/source</t>
  </si>
  <si>
    <t xml:space="preserve">source </t>
  </si>
  <si>
    <t xml:space="preserve">PRE_RETROFIT </t>
  </si>
  <si>
    <t>Totals 18 months</t>
  </si>
  <si>
    <t>Totals 12 months</t>
  </si>
  <si>
    <t>Totals 6 months</t>
  </si>
  <si>
    <t>Monthly distribution of pellet use and of oil is not available</t>
  </si>
  <si>
    <t>MIN USAGE (for 12 mos use 2 lowest months)</t>
  </si>
  <si>
    <t>Linear Regression on Post Retrofit data</t>
  </si>
  <si>
    <t xml:space="preserve">Month </t>
  </si>
  <si>
    <t>Date</t>
  </si>
  <si>
    <t>Actual CDD</t>
  </si>
  <si>
    <t>Actual HDD</t>
  </si>
  <si>
    <t>Comments</t>
  </si>
  <si>
    <t>BEopt 1.3 CDD</t>
  </si>
  <si>
    <t>BEopt 1.3 HDD</t>
  </si>
  <si>
    <t>Predicted (BEopt 1.3)</t>
  </si>
  <si>
    <t>Actual site energy</t>
  </si>
  <si>
    <t>Propane</t>
  </si>
  <si>
    <t>Normalized</t>
  </si>
  <si>
    <t>Normalized site</t>
  </si>
  <si>
    <t>Normalized electricity</t>
  </si>
  <si>
    <t>Normalized Source</t>
  </si>
  <si>
    <t>Pellet Bag</t>
  </si>
  <si>
    <t>BEopt HDD</t>
  </si>
  <si>
    <t>DISTRIBUTION OF OIL AND WOOD PELLETS NOT AVAILABLE FOR WEATHER NORMALIZATION; APPLIED RATIO OF HDD to total heating fuels as estimate</t>
  </si>
  <si>
    <t>HDD Ratio</t>
  </si>
  <si>
    <t>FOR WEATHER NORMALIZATION, APPLY HDD RATIO ABOVE TO PELLET AND OIL USE.</t>
  </si>
  <si>
    <t>oil</t>
  </si>
  <si>
    <t>pellet</t>
  </si>
  <si>
    <t xml:space="preserve">site </t>
  </si>
  <si>
    <t>src</t>
  </si>
  <si>
    <t>MIN USAGE 6 mo</t>
  </si>
  <si>
    <t>12 mo</t>
  </si>
  <si>
    <t>6 mos</t>
  </si>
  <si>
    <t>12 mos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</si>
</sst>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17" fontId="0" fillId="0" borderId="0" xfId="0" applyNumberFormat="1"/>
    <xf numFmtId="0" fontId="0" fillId="0" borderId="0" xfId="0" applyFill="1"/>
    <xf numFmtId="0" fontId="18" fillId="33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18" fillId="0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9" fillId="0" borderId="0" xfId="43" applyAlignment="1" applyProtection="1"/>
    <xf numFmtId="0" fontId="0" fillId="0" borderId="10" xfId="0" applyBorder="1"/>
    <xf numFmtId="0" fontId="18" fillId="34" borderId="10" xfId="42" applyNumberFormat="1" applyFont="1" applyFill="1" applyBorder="1" applyAlignment="1">
      <alignment wrapText="1"/>
    </xf>
    <xf numFmtId="0" fontId="0" fillId="34" borderId="10" xfId="0" applyFill="1" applyBorder="1"/>
    <xf numFmtId="0" fontId="18" fillId="34" borderId="11" xfId="42" applyNumberFormat="1" applyFont="1" applyFill="1" applyBorder="1" applyAlignment="1">
      <alignment wrapText="1"/>
    </xf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6" fontId="0" fillId="0" borderId="0" xfId="0" applyNumberFormat="1" applyBorder="1"/>
    <xf numFmtId="16" fontId="0" fillId="0" borderId="15" xfId="0" applyNumberFormat="1" applyBorder="1"/>
    <xf numFmtId="16" fontId="0" fillId="0" borderId="17" xfId="0" applyNumberFormat="1" applyBorder="1"/>
    <xf numFmtId="16" fontId="0" fillId="0" borderId="0" xfId="0" applyNumberFormat="1" applyBorder="1"/>
    <xf numFmtId="17" fontId="0" fillId="0" borderId="15" xfId="0" applyNumberFormat="1" applyBorder="1"/>
    <xf numFmtId="17" fontId="0" fillId="0" borderId="17" xfId="0" applyNumberFormat="1" applyBorder="1"/>
    <xf numFmtId="0" fontId="18" fillId="0" borderId="0" xfId="42" applyNumberFormat="1" applyFont="1" applyFill="1" applyBorder="1" applyAlignment="1">
      <alignment wrapText="1"/>
    </xf>
    <xf numFmtId="17" fontId="0" fillId="0" borderId="12" xfId="0" applyNumberFormat="1" applyBorder="1"/>
    <xf numFmtId="17" fontId="0" fillId="0" borderId="13" xfId="0" applyNumberFormat="1" applyBorder="1"/>
    <xf numFmtId="2" fontId="0" fillId="0" borderId="0" xfId="0" applyNumberFormat="1" applyBorder="1"/>
    <xf numFmtId="4" fontId="0" fillId="0" borderId="0" xfId="0" applyNumberFormat="1" applyBorder="1"/>
    <xf numFmtId="17" fontId="0" fillId="0" borderId="0" xfId="0" applyNumberFormat="1" applyBorder="1"/>
    <xf numFmtId="2" fontId="0" fillId="0" borderId="16" xfId="0" applyNumberFormat="1" applyBorder="1"/>
    <xf numFmtId="0" fontId="0" fillId="0" borderId="17" xfId="0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7" xfId="0" applyNumberFormat="1" applyBorder="1"/>
    <xf numFmtId="14" fontId="20" fillId="0" borderId="20" xfId="0" applyNumberFormat="1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3" fontId="20" fillId="0" borderId="20" xfId="0" applyNumberFormat="1" applyFont="1" applyBorder="1" applyAlignment="1">
      <alignment horizontal="left" wrapText="1"/>
    </xf>
    <xf numFmtId="2" fontId="18" fillId="0" borderId="0" xfId="42" applyNumberFormat="1" applyFont="1" applyFill="1" applyBorder="1" applyAlignment="1">
      <alignment wrapText="1"/>
    </xf>
    <xf numFmtId="0" fontId="18" fillId="0" borderId="21" xfId="42" applyNumberFormat="1" applyFont="1" applyFill="1" applyBorder="1" applyAlignment="1">
      <alignment wrapText="1"/>
    </xf>
    <xf numFmtId="0" fontId="0" fillId="0" borderId="22" xfId="0" applyBorder="1"/>
    <xf numFmtId="0" fontId="0" fillId="0" borderId="23" xfId="0" applyBorder="1"/>
    <xf numFmtId="2" fontId="18" fillId="0" borderId="23" xfId="42" applyNumberFormat="1" applyFont="1" applyFill="1" applyBorder="1" applyAlignment="1">
      <alignment wrapText="1"/>
    </xf>
    <xf numFmtId="2" fontId="0" fillId="0" borderId="23" xfId="0" applyNumberFormat="1" applyBorder="1"/>
    <xf numFmtId="2" fontId="0" fillId="0" borderId="24" xfId="0" applyNumberFormat="1" applyBorder="1"/>
    <xf numFmtId="16" fontId="0" fillId="0" borderId="0" xfId="0" applyNumberFormat="1"/>
    <xf numFmtId="164" fontId="23" fillId="0" borderId="18" xfId="42" applyNumberFormat="1" applyFont="1" applyFill="1" applyBorder="1" applyAlignment="1">
      <alignment horizontal="center" wrapText="1"/>
    </xf>
    <xf numFmtId="10" fontId="0" fillId="0" borderId="0" xfId="0" applyNumberFormat="1"/>
    <xf numFmtId="164" fontId="23" fillId="0" borderId="0" xfId="42" applyNumberFormat="1" applyFont="1" applyFill="1" applyBorder="1" applyAlignment="1">
      <alignment horizontal="center" wrapText="1"/>
    </xf>
    <xf numFmtId="2" fontId="0" fillId="0" borderId="0" xfId="0" applyNumberFormat="1" applyFill="1" applyBorder="1"/>
    <xf numFmtId="2" fontId="0" fillId="0" borderId="16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18" fillId="0" borderId="0" xfId="42" applyNumberFormat="1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Millbury Single Family Propane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55"/>
          <c:y val="0.13928441236512296"/>
          <c:w val="0.7019946305339001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'Pre-Retrofit'!$C$5</c:f>
              <c:strCache>
                <c:ptCount val="1"/>
                <c:pt idx="0">
                  <c:v>Pellet Bag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'Pre-Retrofit'!$A$7:$A$18</c:f>
              <c:numCache>
                <c:formatCode>mmm-yy</c:formatCode>
                <c:ptCount val="12"/>
                <c:pt idx="0">
                  <c:v>39934</c:v>
                </c:pt>
                <c:pt idx="1">
                  <c:v>39965</c:v>
                </c:pt>
                <c:pt idx="2">
                  <c:v>39995</c:v>
                </c:pt>
                <c:pt idx="3">
                  <c:v>40026</c:v>
                </c:pt>
                <c:pt idx="4">
                  <c:v>40057</c:v>
                </c:pt>
                <c:pt idx="5">
                  <c:v>40087</c:v>
                </c:pt>
                <c:pt idx="6">
                  <c:v>40118</c:v>
                </c:pt>
                <c:pt idx="7">
                  <c:v>40148</c:v>
                </c:pt>
                <c:pt idx="8">
                  <c:v>40179</c:v>
                </c:pt>
                <c:pt idx="9">
                  <c:v>40210</c:v>
                </c:pt>
                <c:pt idx="10">
                  <c:v>40238</c:v>
                </c:pt>
                <c:pt idx="11">
                  <c:v>40269</c:v>
                </c:pt>
              </c:numCache>
            </c:numRef>
          </c:cat>
          <c:val>
            <c:numRef>
              <c:f>'Pre-Retrofit'!$C$7:$C$18</c:f>
              <c:numCache>
                <c:formatCode>0.00</c:formatCode>
                <c:ptCount val="12"/>
              </c:numCache>
            </c:numRef>
          </c:val>
        </c:ser>
        <c:axId val="124974208"/>
        <c:axId val="124975744"/>
      </c:barChart>
      <c:lineChart>
        <c:grouping val="standard"/>
        <c:ser>
          <c:idx val="1"/>
          <c:order val="1"/>
          <c:tx>
            <c:strRef>
              <c:f>'Pre-Retrofit'!$D$5</c:f>
              <c:strCache>
                <c:ptCount val="1"/>
                <c:pt idx="0">
                  <c:v>MMBtu</c:v>
                </c:pt>
              </c:strCache>
            </c:strRef>
          </c:tx>
          <c:cat>
            <c:numRef>
              <c:f>'Pre-Retrofit'!$A$7:$A$18</c:f>
              <c:numCache>
                <c:formatCode>mmm-yy</c:formatCode>
                <c:ptCount val="12"/>
                <c:pt idx="0">
                  <c:v>39934</c:v>
                </c:pt>
                <c:pt idx="1">
                  <c:v>39965</c:v>
                </c:pt>
                <c:pt idx="2">
                  <c:v>39995</c:v>
                </c:pt>
                <c:pt idx="3">
                  <c:v>40026</c:v>
                </c:pt>
                <c:pt idx="4">
                  <c:v>40057</c:v>
                </c:pt>
                <c:pt idx="5">
                  <c:v>40087</c:v>
                </c:pt>
                <c:pt idx="6">
                  <c:v>40118</c:v>
                </c:pt>
                <c:pt idx="7">
                  <c:v>40148</c:v>
                </c:pt>
                <c:pt idx="8">
                  <c:v>40179</c:v>
                </c:pt>
                <c:pt idx="9">
                  <c:v>40210</c:v>
                </c:pt>
                <c:pt idx="10">
                  <c:v>40238</c:v>
                </c:pt>
                <c:pt idx="11">
                  <c:v>40269</c:v>
                </c:pt>
              </c:numCache>
            </c:numRef>
          </c:cat>
          <c:val>
            <c:numRef>
              <c:f>'Pre-Retrofit'!$E$7:$E$18</c:f>
              <c:numCache>
                <c:formatCode>General</c:formatCode>
                <c:ptCount val="12"/>
                <c:pt idx="0">
                  <c:v>279</c:v>
                </c:pt>
                <c:pt idx="1">
                  <c:v>138</c:v>
                </c:pt>
                <c:pt idx="2">
                  <c:v>68</c:v>
                </c:pt>
                <c:pt idx="3">
                  <c:v>47</c:v>
                </c:pt>
                <c:pt idx="4">
                  <c:v>193</c:v>
                </c:pt>
                <c:pt idx="5">
                  <c:v>524</c:v>
                </c:pt>
                <c:pt idx="6">
                  <c:v>610</c:v>
                </c:pt>
                <c:pt idx="7">
                  <c:v>1148</c:v>
                </c:pt>
                <c:pt idx="8">
                  <c:v>1248</c:v>
                </c:pt>
                <c:pt idx="9">
                  <c:v>1039</c:v>
                </c:pt>
                <c:pt idx="10">
                  <c:v>732</c:v>
                </c:pt>
                <c:pt idx="11">
                  <c:v>426</c:v>
                </c:pt>
              </c:numCache>
            </c:numRef>
          </c:val>
        </c:ser>
        <c:marker val="1"/>
        <c:axId val="125272064"/>
        <c:axId val="125006592"/>
      </c:lineChart>
      <c:dateAx>
        <c:axId val="124974208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124975744"/>
        <c:crosses val="autoZero"/>
        <c:auto val="1"/>
        <c:lblOffset val="100"/>
        <c:baseTimeUnit val="months"/>
      </c:dateAx>
      <c:valAx>
        <c:axId val="1249757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MMBtus/month</a:t>
                </a:r>
              </a:p>
            </c:rich>
          </c:tx>
        </c:title>
        <c:numFmt formatCode="0.00" sourceLinked="1"/>
        <c:tickLblPos val="nextTo"/>
        <c:crossAx val="124974208"/>
        <c:crosses val="autoZero"/>
        <c:crossBetween val="between"/>
      </c:valAx>
      <c:valAx>
        <c:axId val="12500659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125272064"/>
        <c:crosses val="max"/>
        <c:crossBetween val="between"/>
      </c:valAx>
      <c:dateAx>
        <c:axId val="125272064"/>
        <c:scaling>
          <c:orientation val="minMax"/>
        </c:scaling>
        <c:delete val="1"/>
        <c:axPos val="b"/>
        <c:numFmt formatCode="mmm-yy" sourceLinked="1"/>
        <c:tickLblPos val="none"/>
        <c:crossAx val="125006592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9182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Millbury Single Family Propane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55"/>
          <c:y val="0.13928441236512287"/>
          <c:w val="0.70199463053389943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Propane!$C$5</c:f>
              <c:strCache>
                <c:ptCount val="1"/>
                <c:pt idx="0">
                  <c:v>MMBtu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Propane!$A$9:$A$28</c:f>
              <c:numCache>
                <c:formatCode>mmm-yy</c:formatCode>
                <c:ptCount val="20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</c:numCache>
            </c:numRef>
          </c:cat>
          <c:val>
            <c:numRef>
              <c:f>Propane!$C$9:$C$28</c:f>
              <c:numCache>
                <c:formatCode>0.00</c:formatCode>
                <c:ptCount val="20"/>
                <c:pt idx="0">
                  <c:v>0.585386456043956</c:v>
                </c:pt>
                <c:pt idx="1">
                  <c:v>0.585386456043956</c:v>
                </c:pt>
                <c:pt idx="2">
                  <c:v>0.5287361538461538</c:v>
                </c:pt>
                <c:pt idx="3">
                  <c:v>0.585386456043956</c:v>
                </c:pt>
                <c:pt idx="4">
                  <c:v>0.22153664460431649</c:v>
                </c:pt>
                <c:pt idx="5">
                  <c:v>0.2289211994244604</c:v>
                </c:pt>
                <c:pt idx="6">
                  <c:v>0.22153664460431649</c:v>
                </c:pt>
                <c:pt idx="7">
                  <c:v>0.2289211994244604</c:v>
                </c:pt>
                <c:pt idx="8">
                  <c:v>0.4022862371973725</c:v>
                </c:pt>
                <c:pt idx="9">
                  <c:v>0.62160980869565219</c:v>
                </c:pt>
                <c:pt idx="10">
                  <c:v>0.64233013565217389</c:v>
                </c:pt>
                <c:pt idx="11">
                  <c:v>0.62160980869565219</c:v>
                </c:pt>
                <c:pt idx="12">
                  <c:v>0.64233013565217389</c:v>
                </c:pt>
                <c:pt idx="13">
                  <c:v>0.60557733851662399</c:v>
                </c:pt>
                <c:pt idx="14">
                  <c:v>0.5628240847058823</c:v>
                </c:pt>
                <c:pt idx="15">
                  <c:v>0.60163953882352939</c:v>
                </c:pt>
                <c:pt idx="16">
                  <c:v>0.58223181176470584</c:v>
                </c:pt>
                <c:pt idx="17">
                  <c:v>0.34933908705882349</c:v>
                </c:pt>
                <c:pt idx="18">
                  <c:v>0.22153664460431649</c:v>
                </c:pt>
                <c:pt idx="19">
                  <c:v>0.2289211994244604</c:v>
                </c:pt>
              </c:numCache>
            </c:numRef>
          </c:val>
        </c:ser>
        <c:axId val="100970880"/>
        <c:axId val="100972416"/>
      </c:barChart>
      <c:lineChart>
        <c:grouping val="standard"/>
        <c:ser>
          <c:idx val="1"/>
          <c:order val="1"/>
          <c:tx>
            <c:strRef>
              <c:f>Propane!$D$5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Propane!$A$9:$A$15</c:f>
              <c:numCache>
                <c:formatCode>mmm-yy</c:formatCode>
                <c:ptCount val="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</c:numCache>
            </c:numRef>
          </c:cat>
          <c:val>
            <c:numRef>
              <c:f>Propane!$D$9:$D$28</c:f>
              <c:numCache>
                <c:formatCode>General</c:formatCode>
                <c:ptCount val="20"/>
                <c:pt idx="0">
                  <c:v>1185</c:v>
                </c:pt>
                <c:pt idx="1">
                  <c:v>1326</c:v>
                </c:pt>
                <c:pt idx="2">
                  <c:v>1103</c:v>
                </c:pt>
                <c:pt idx="3">
                  <c:v>960</c:v>
                </c:pt>
                <c:pt idx="4">
                  <c:v>542</c:v>
                </c:pt>
                <c:pt idx="5">
                  <c:v>284</c:v>
                </c:pt>
                <c:pt idx="6">
                  <c:v>113</c:v>
                </c:pt>
                <c:pt idx="7">
                  <c:v>11</c:v>
                </c:pt>
                <c:pt idx="8">
                  <c:v>28</c:v>
                </c:pt>
                <c:pt idx="9">
                  <c:v>114</c:v>
                </c:pt>
                <c:pt idx="10">
                  <c:v>438</c:v>
                </c:pt>
                <c:pt idx="11">
                  <c:v>556</c:v>
                </c:pt>
                <c:pt idx="12">
                  <c:v>897</c:v>
                </c:pt>
                <c:pt idx="13">
                  <c:v>1116</c:v>
                </c:pt>
                <c:pt idx="14">
                  <c:v>926</c:v>
                </c:pt>
                <c:pt idx="15">
                  <c:v>675</c:v>
                </c:pt>
                <c:pt idx="16">
                  <c:v>499</c:v>
                </c:pt>
                <c:pt idx="17">
                  <c:v>203</c:v>
                </c:pt>
                <c:pt idx="18">
                  <c:v>122</c:v>
                </c:pt>
                <c:pt idx="19">
                  <c:v>10</c:v>
                </c:pt>
              </c:numCache>
            </c:numRef>
          </c:val>
        </c:ser>
        <c:marker val="1"/>
        <c:axId val="100980608"/>
        <c:axId val="100978688"/>
      </c:lineChart>
      <c:dateAx>
        <c:axId val="100970880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100972416"/>
        <c:crosses val="autoZero"/>
        <c:auto val="1"/>
        <c:lblOffset val="100"/>
        <c:baseTimeUnit val="months"/>
      </c:dateAx>
      <c:valAx>
        <c:axId val="100972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MMBtus/month</a:t>
                </a:r>
              </a:p>
            </c:rich>
          </c:tx>
        </c:title>
        <c:numFmt formatCode="0.00" sourceLinked="1"/>
        <c:tickLblPos val="nextTo"/>
        <c:crossAx val="100970880"/>
        <c:crosses val="autoZero"/>
        <c:crossBetween val="between"/>
      </c:valAx>
      <c:valAx>
        <c:axId val="10097868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100980608"/>
        <c:crosses val="max"/>
        <c:crossBetween val="between"/>
      </c:valAx>
      <c:dateAx>
        <c:axId val="100980608"/>
        <c:scaling>
          <c:orientation val="minMax"/>
        </c:scaling>
        <c:delete val="1"/>
        <c:axPos val="b"/>
        <c:numFmt formatCode="mmm-yy" sourceLinked="1"/>
        <c:tickLblPos val="none"/>
        <c:crossAx val="10097868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916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Millbury</a:t>
            </a:r>
            <a:r>
              <a:rPr lang="en-US" sz="1200" baseline="0"/>
              <a:t> Single Family Electrical Consumption &amp; PV Production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511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Elec!$A$11:$A$29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Elec!$D$11:$D$29</c:f>
              <c:numCache>
                <c:formatCode>General</c:formatCode>
                <c:ptCount val="19"/>
                <c:pt idx="0">
                  <c:v>1486</c:v>
                </c:pt>
                <c:pt idx="1">
                  <c:v>1049</c:v>
                </c:pt>
                <c:pt idx="2">
                  <c:v>870</c:v>
                </c:pt>
                <c:pt idx="3">
                  <c:v>938</c:v>
                </c:pt>
                <c:pt idx="4">
                  <c:v>579</c:v>
                </c:pt>
                <c:pt idx="5">
                  <c:v>571</c:v>
                </c:pt>
                <c:pt idx="6">
                  <c:v>430</c:v>
                </c:pt>
                <c:pt idx="7">
                  <c:v>777</c:v>
                </c:pt>
                <c:pt idx="8">
                  <c:v>559</c:v>
                </c:pt>
                <c:pt idx="9">
                  <c:v>607</c:v>
                </c:pt>
                <c:pt idx="10">
                  <c:v>670</c:v>
                </c:pt>
                <c:pt idx="11">
                  <c:v>1158</c:v>
                </c:pt>
                <c:pt idx="12">
                  <c:v>1615</c:v>
                </c:pt>
                <c:pt idx="13">
                  <c:v>1641</c:v>
                </c:pt>
                <c:pt idx="14">
                  <c:v>983</c:v>
                </c:pt>
                <c:pt idx="15">
                  <c:v>502</c:v>
                </c:pt>
                <c:pt idx="16">
                  <c:v>585</c:v>
                </c:pt>
                <c:pt idx="17">
                  <c:v>633</c:v>
                </c:pt>
                <c:pt idx="18">
                  <c:v>867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Elec!$A$11:$A$29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Elec!$E$11:$E$29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gapWidth val="202"/>
        <c:overlap val="100"/>
        <c:axId val="108267008"/>
        <c:axId val="108268928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Elec!$A$11:$A$16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Elec!$F$11:$F$29</c:f>
              <c:numCache>
                <c:formatCode>General</c:formatCode>
                <c:ptCount val="19"/>
                <c:pt idx="0">
                  <c:v>1326</c:v>
                </c:pt>
                <c:pt idx="1">
                  <c:v>1103</c:v>
                </c:pt>
                <c:pt idx="2">
                  <c:v>960</c:v>
                </c:pt>
                <c:pt idx="3">
                  <c:v>542</c:v>
                </c:pt>
                <c:pt idx="4">
                  <c:v>284</c:v>
                </c:pt>
                <c:pt idx="5">
                  <c:v>113</c:v>
                </c:pt>
                <c:pt idx="6">
                  <c:v>11</c:v>
                </c:pt>
                <c:pt idx="7">
                  <c:v>28</c:v>
                </c:pt>
                <c:pt idx="8">
                  <c:v>114</c:v>
                </c:pt>
                <c:pt idx="9">
                  <c:v>438</c:v>
                </c:pt>
                <c:pt idx="10">
                  <c:v>556</c:v>
                </c:pt>
                <c:pt idx="11">
                  <c:v>897</c:v>
                </c:pt>
                <c:pt idx="12">
                  <c:v>1116</c:v>
                </c:pt>
                <c:pt idx="13">
                  <c:v>926</c:v>
                </c:pt>
                <c:pt idx="14">
                  <c:v>675</c:v>
                </c:pt>
                <c:pt idx="15">
                  <c:v>499</c:v>
                </c:pt>
                <c:pt idx="16">
                  <c:v>203</c:v>
                </c:pt>
                <c:pt idx="17">
                  <c:v>122</c:v>
                </c:pt>
                <c:pt idx="18">
                  <c:v>10</c:v>
                </c:pt>
              </c:numCache>
            </c:numRef>
          </c:val>
        </c:ser>
        <c:marker val="1"/>
        <c:axId val="108267008"/>
        <c:axId val="108268928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Elec!$A$11:$A$16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Elec!$G$11:$G$29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51</c:v>
                </c:pt>
                <c:pt idx="5">
                  <c:v>97</c:v>
                </c:pt>
                <c:pt idx="6">
                  <c:v>260</c:v>
                </c:pt>
                <c:pt idx="7">
                  <c:v>152</c:v>
                </c:pt>
                <c:pt idx="8">
                  <c:v>81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</c:v>
                </c:pt>
                <c:pt idx="15">
                  <c:v>18</c:v>
                </c:pt>
                <c:pt idx="16">
                  <c:v>60</c:v>
                </c:pt>
                <c:pt idx="17">
                  <c:v>107</c:v>
                </c:pt>
                <c:pt idx="18">
                  <c:v>254</c:v>
                </c:pt>
              </c:numCache>
            </c:numRef>
          </c:val>
        </c:ser>
        <c:marker val="1"/>
        <c:axId val="108281216"/>
        <c:axId val="108279296"/>
      </c:lineChart>
      <c:dateAx>
        <c:axId val="108267008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108268928"/>
        <c:crosses val="autoZero"/>
        <c:auto val="1"/>
        <c:lblOffset val="100"/>
        <c:baseTimeUnit val="months"/>
      </c:dateAx>
      <c:valAx>
        <c:axId val="108268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General" sourceLinked="1"/>
        <c:tickLblPos val="nextTo"/>
        <c:crossAx val="108267008"/>
        <c:crosses val="autoZero"/>
        <c:crossBetween val="between"/>
        <c:majorUnit val="200"/>
      </c:valAx>
      <c:valAx>
        <c:axId val="108279296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layout/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08281216"/>
        <c:crosses val="max"/>
        <c:crossBetween val="between"/>
        <c:majorUnit val="20"/>
      </c:valAx>
      <c:dateAx>
        <c:axId val="108281216"/>
        <c:scaling>
          <c:orientation val="minMax"/>
        </c:scaling>
        <c:delete val="1"/>
        <c:axPos val="b"/>
        <c:numFmt formatCode="mmm-yy" sourceLinked="1"/>
        <c:tickLblPos val="none"/>
        <c:crossAx val="10827929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62"/>
          <c:y val="0.82399778974995885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532174103237105"/>
          <c:y val="5.1400554097404488E-2"/>
          <c:w val="0.76118985126859251"/>
          <c:h val="0.63597878390201223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Use'!$Q$23:$Q$34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Use'!$AF$23:$AF$34</c:f>
              <c:numCache>
                <c:formatCode>0.00</c:formatCode>
                <c:ptCount val="12"/>
                <c:pt idx="0">
                  <c:v>9.2636584395693458</c:v>
                </c:pt>
                <c:pt idx="1">
                  <c:v>7.0776016867826081</c:v>
                </c:pt>
                <c:pt idx="2">
                  <c:v>7.8007013770086946</c:v>
                </c:pt>
                <c:pt idx="3">
                  <c:v>8.5754373067826091</c:v>
                </c:pt>
                <c:pt idx="4">
                  <c:v>14.159281797008694</c:v>
                </c:pt>
                <c:pt idx="5">
                  <c:v>19.951696411901786</c:v>
                </c:pt>
                <c:pt idx="6">
                  <c:v>20.204900545552938</c:v>
                </c:pt>
                <c:pt idx="7">
                  <c:v>11.813285794211764</c:v>
                </c:pt>
                <c:pt idx="8">
                  <c:v>6.3105629698823513</c:v>
                </c:pt>
                <c:pt idx="9">
                  <c:v>7.0214931779294112</c:v>
                </c:pt>
                <c:pt idx="10">
                  <c:v>7.4395848710503589</c:v>
                </c:pt>
                <c:pt idx="11">
                  <c:v>10.114507551418702</c:v>
                </c:pt>
              </c:numCache>
            </c:numRef>
          </c:val>
        </c:ser>
        <c:axId val="110072576"/>
        <c:axId val="110074496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HDD!$B$20:$B$31</c:f>
              <c:numCache>
                <c:formatCode>General</c:formatCode>
                <c:ptCount val="12"/>
                <c:pt idx="0">
                  <c:v>28</c:v>
                </c:pt>
                <c:pt idx="1">
                  <c:v>114</c:v>
                </c:pt>
                <c:pt idx="2">
                  <c:v>438</c:v>
                </c:pt>
                <c:pt idx="3">
                  <c:v>556</c:v>
                </c:pt>
                <c:pt idx="4">
                  <c:v>897</c:v>
                </c:pt>
                <c:pt idx="5">
                  <c:v>1116</c:v>
                </c:pt>
                <c:pt idx="6">
                  <c:v>926</c:v>
                </c:pt>
                <c:pt idx="7">
                  <c:v>675</c:v>
                </c:pt>
                <c:pt idx="8">
                  <c:v>499</c:v>
                </c:pt>
                <c:pt idx="9">
                  <c:v>203</c:v>
                </c:pt>
                <c:pt idx="10">
                  <c:v>122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CDD!$B$20:$B$31</c:f>
              <c:numCache>
                <c:formatCode>General</c:formatCode>
                <c:ptCount val="12"/>
                <c:pt idx="0">
                  <c:v>152</c:v>
                </c:pt>
                <c:pt idx="1">
                  <c:v>81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18</c:v>
                </c:pt>
                <c:pt idx="9">
                  <c:v>60</c:v>
                </c:pt>
                <c:pt idx="10">
                  <c:v>107</c:v>
                </c:pt>
                <c:pt idx="11">
                  <c:v>254</c:v>
                </c:pt>
              </c:numCache>
            </c:numRef>
          </c:val>
        </c:ser>
        <c:marker val="1"/>
        <c:axId val="110077824"/>
        <c:axId val="110076288"/>
      </c:lineChart>
      <c:dateAx>
        <c:axId val="110072576"/>
        <c:scaling>
          <c:orientation val="minMax"/>
        </c:scaling>
        <c:axPos val="b"/>
        <c:numFmt formatCode="mmm-yy" sourceLinked="1"/>
        <c:tickLblPos val="nextTo"/>
        <c:crossAx val="110074496"/>
        <c:crosses val="autoZero"/>
        <c:auto val="1"/>
        <c:lblOffset val="100"/>
      </c:dateAx>
      <c:valAx>
        <c:axId val="110074496"/>
        <c:scaling>
          <c:orientation val="minMax"/>
        </c:scaling>
        <c:axPos val="l"/>
        <c:majorGridlines/>
        <c:numFmt formatCode="0" sourceLinked="0"/>
        <c:tickLblPos val="nextTo"/>
        <c:crossAx val="110072576"/>
        <c:crosses val="autoZero"/>
        <c:crossBetween val="between"/>
      </c:valAx>
      <c:valAx>
        <c:axId val="110076288"/>
        <c:scaling>
          <c:orientation val="minMax"/>
        </c:scaling>
        <c:axPos val="r"/>
        <c:numFmt formatCode="General" sourceLinked="1"/>
        <c:tickLblPos val="nextTo"/>
        <c:crossAx val="110077824"/>
        <c:crosses val="max"/>
        <c:crossBetween val="between"/>
      </c:valAx>
      <c:catAx>
        <c:axId val="110077824"/>
        <c:scaling>
          <c:orientation val="minMax"/>
        </c:scaling>
        <c:delete val="1"/>
        <c:axPos val="b"/>
        <c:tickLblPos val="none"/>
        <c:crossAx val="11007628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Electricity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'Weather Lin Regr Analysis'!$G$9:$G$20</c:f>
              <c:numCache>
                <c:formatCode>General</c:formatCode>
                <c:ptCount val="12"/>
                <c:pt idx="0">
                  <c:v>28</c:v>
                </c:pt>
                <c:pt idx="1">
                  <c:v>114</c:v>
                </c:pt>
                <c:pt idx="2">
                  <c:v>438</c:v>
                </c:pt>
                <c:pt idx="3">
                  <c:v>556</c:v>
                </c:pt>
                <c:pt idx="4">
                  <c:v>897</c:v>
                </c:pt>
                <c:pt idx="5">
                  <c:v>1116</c:v>
                </c:pt>
                <c:pt idx="6">
                  <c:v>926</c:v>
                </c:pt>
                <c:pt idx="7">
                  <c:v>675</c:v>
                </c:pt>
                <c:pt idx="8">
                  <c:v>499</c:v>
                </c:pt>
                <c:pt idx="9">
                  <c:v>203</c:v>
                </c:pt>
                <c:pt idx="10">
                  <c:v>122</c:v>
                </c:pt>
                <c:pt idx="11">
                  <c:v>10</c:v>
                </c:pt>
              </c:numCache>
            </c:numRef>
          </c:xVal>
          <c:yVal>
            <c:numRef>
              <c:f>'Weather Lin Regr Analysis'!$D$9:$D$20</c:f>
              <c:numCache>
                <c:formatCode>0.00</c:formatCode>
                <c:ptCount val="12"/>
                <c:pt idx="0">
                  <c:v>2.6519010000000001</c:v>
                </c:pt>
                <c:pt idx="1">
                  <c:v>1.907867</c:v>
                </c:pt>
                <c:pt idx="2">
                  <c:v>2.0716909999999999</c:v>
                </c:pt>
                <c:pt idx="3">
                  <c:v>2.2867099999999998</c:v>
                </c:pt>
                <c:pt idx="4">
                  <c:v>3.9522539999999999</c:v>
                </c:pt>
                <c:pt idx="5">
                  <c:v>5.5119949999999998</c:v>
                </c:pt>
                <c:pt idx="6">
                  <c:v>5.600733</c:v>
                </c:pt>
                <c:pt idx="7">
                  <c:v>3.3549789999999997</c:v>
                </c:pt>
                <c:pt idx="8">
                  <c:v>1.7133259999999999</c:v>
                </c:pt>
                <c:pt idx="9">
                  <c:v>1.996605</c:v>
                </c:pt>
                <c:pt idx="10">
                  <c:v>2.1604289999999997</c:v>
                </c:pt>
                <c:pt idx="11">
                  <c:v>2.9590709999999998</c:v>
                </c:pt>
              </c:numCache>
            </c:numRef>
          </c:yVal>
        </c:ser>
        <c:axId val="110552960"/>
        <c:axId val="110554496"/>
      </c:scatterChart>
      <c:valAx>
        <c:axId val="110552960"/>
        <c:scaling>
          <c:orientation val="minMax"/>
        </c:scaling>
        <c:axPos val="b"/>
        <c:numFmt formatCode="General" sourceLinked="1"/>
        <c:tickLblPos val="nextTo"/>
        <c:crossAx val="110554496"/>
        <c:crosses val="autoZero"/>
        <c:crossBetween val="midCat"/>
      </c:valAx>
      <c:valAx>
        <c:axId val="110554496"/>
        <c:scaling>
          <c:orientation val="minMax"/>
        </c:scaling>
        <c:axPos val="l"/>
        <c:majorGridlines/>
        <c:numFmt formatCode="0.00" sourceLinked="1"/>
        <c:tickLblPos val="nextTo"/>
        <c:crossAx val="1105529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175260</xdr:rowOff>
    </xdr:from>
    <xdr:to>
      <xdr:col>15</xdr:col>
      <xdr:colOff>213360</xdr:colOff>
      <xdr:row>24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175260</xdr:rowOff>
    </xdr:from>
    <xdr:to>
      <xdr:col>15</xdr:col>
      <xdr:colOff>213360</xdr:colOff>
      <xdr:row>24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26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45</xdr:row>
      <xdr:rowOff>85725</xdr:rowOff>
    </xdr:from>
    <xdr:to>
      <xdr:col>22</xdr:col>
      <xdr:colOff>238125</xdr:colOff>
      <xdr:row>59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2.18723E-7</cdr:x>
      <cdr:y>0</cdr:y>
    </cdr:from>
    <cdr:to>
      <cdr:x>0.04792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000122" y="1000123"/>
          <a:ext cx="2219324" cy="219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MMBtu (monthly)</a:t>
          </a:r>
        </a:p>
      </cdr:txBody>
    </cdr:sp>
  </cdr:relSizeAnchor>
  <cdr:relSizeAnchor xmlns:cdr="http://schemas.openxmlformats.org/drawingml/2006/chartDrawing">
    <cdr:from>
      <cdr:x>0.94583</cdr:x>
      <cdr:y>0.03125</cdr:y>
    </cdr:from>
    <cdr:to>
      <cdr:x>0.99583</cdr:x>
      <cdr:y>0.51042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3781425" y="628650"/>
          <a:ext cx="13144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</a:t>
          </a:r>
          <a:r>
            <a:rPr lang="en-US" sz="1000" b="1" baseline="0"/>
            <a:t> &amp; CDD (65F)</a:t>
          </a:r>
          <a:endParaRPr lang="en-US" sz="10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5</xdr:row>
      <xdr:rowOff>152400</xdr:rowOff>
    </xdr:from>
    <xdr:to>
      <xdr:col>24</xdr:col>
      <xdr:colOff>57150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3"/>
  <sheetViews>
    <sheetView topLeftCell="A43" workbookViewId="0">
      <selection activeCell="I54" sqref="I54"/>
    </sheetView>
  </sheetViews>
  <sheetFormatPr defaultRowHeight="15"/>
  <cols>
    <col min="1" max="1" width="10.42578125" style="12" bestFit="1" customWidth="1"/>
    <col min="2" max="2" width="11.5703125" style="12" bestFit="1" customWidth="1"/>
    <col min="3" max="5" width="9.140625" style="12"/>
    <col min="6" max="6" width="10.42578125" style="12" customWidth="1"/>
    <col min="7" max="16384" width="9.140625" style="12"/>
  </cols>
  <sheetData>
    <row r="1" spans="1:8">
      <c r="B1" s="12" t="s">
        <v>126</v>
      </c>
    </row>
    <row r="2" spans="1:8">
      <c r="B2" s="12" t="s">
        <v>39</v>
      </c>
      <c r="E2" s="14"/>
      <c r="H2" s="12">
        <f>91.6476/1000</f>
        <v>9.1647599999999996E-2</v>
      </c>
    </row>
    <row r="3" spans="1:8">
      <c r="B3" s="12" t="s">
        <v>40</v>
      </c>
    </row>
    <row r="4" spans="1:8">
      <c r="D4" s="12" t="s">
        <v>41</v>
      </c>
      <c r="E4" s="12" t="s">
        <v>41</v>
      </c>
      <c r="F4" s="12" t="s">
        <v>125</v>
      </c>
    </row>
    <row r="5" spans="1:8">
      <c r="B5" s="12" t="s">
        <v>33</v>
      </c>
      <c r="C5" s="12" t="s">
        <v>124</v>
      </c>
      <c r="D5" s="12" t="s">
        <v>34</v>
      </c>
      <c r="E5" s="12" t="s">
        <v>0</v>
      </c>
    </row>
    <row r="6" spans="1:8">
      <c r="A6" s="12" t="s">
        <v>14</v>
      </c>
    </row>
    <row r="7" spans="1:8">
      <c r="A7" s="1">
        <v>39934</v>
      </c>
      <c r="B7" s="20"/>
      <c r="C7" s="22"/>
      <c r="D7" s="21"/>
      <c r="E7" s="12">
        <v>279</v>
      </c>
      <c r="F7" s="12">
        <v>238</v>
      </c>
    </row>
    <row r="8" spans="1:8">
      <c r="A8" s="1">
        <v>39965</v>
      </c>
      <c r="B8" s="20"/>
      <c r="C8" s="22"/>
      <c r="D8" s="21"/>
      <c r="E8" s="12">
        <v>138</v>
      </c>
      <c r="F8" s="12">
        <v>68</v>
      </c>
    </row>
    <row r="9" spans="1:8">
      <c r="A9" s="1">
        <v>39995</v>
      </c>
      <c r="B9" s="20"/>
      <c r="C9" s="22"/>
      <c r="D9" s="21"/>
      <c r="E9" s="12">
        <v>68</v>
      </c>
      <c r="F9" s="12">
        <v>11</v>
      </c>
    </row>
    <row r="10" spans="1:8">
      <c r="A10" s="1">
        <v>40026</v>
      </c>
      <c r="B10" s="20"/>
      <c r="C10" s="22"/>
      <c r="D10" s="21"/>
      <c r="E10" s="12">
        <v>47</v>
      </c>
      <c r="F10" s="12">
        <v>57</v>
      </c>
    </row>
    <row r="11" spans="1:8">
      <c r="A11" s="1">
        <v>40057</v>
      </c>
      <c r="B11" s="20"/>
      <c r="C11" s="22"/>
      <c r="D11" s="21"/>
      <c r="E11" s="12">
        <v>193</v>
      </c>
      <c r="F11" s="12">
        <v>179</v>
      </c>
    </row>
    <row r="12" spans="1:8">
      <c r="A12" s="1">
        <v>40087</v>
      </c>
      <c r="B12" s="20"/>
      <c r="C12" s="22"/>
      <c r="D12" s="21"/>
      <c r="E12" s="12">
        <v>524</v>
      </c>
      <c r="F12" s="12">
        <v>477</v>
      </c>
      <c r="G12" s="21"/>
    </row>
    <row r="13" spans="1:8">
      <c r="A13" s="1">
        <v>40118</v>
      </c>
      <c r="B13" s="20"/>
      <c r="C13" s="22"/>
      <c r="D13" s="21"/>
      <c r="E13" s="12">
        <v>610</v>
      </c>
      <c r="F13" s="12">
        <v>790</v>
      </c>
      <c r="G13" s="21"/>
    </row>
    <row r="14" spans="1:8">
      <c r="A14" s="1">
        <v>40148</v>
      </c>
      <c r="B14" s="20"/>
      <c r="C14" s="22"/>
      <c r="D14" s="21"/>
      <c r="E14" s="12">
        <v>1148</v>
      </c>
      <c r="F14" s="12">
        <v>1119</v>
      </c>
      <c r="G14" s="21"/>
    </row>
    <row r="15" spans="1:8">
      <c r="A15" s="1">
        <v>40179</v>
      </c>
      <c r="B15" s="20"/>
      <c r="C15" s="22"/>
      <c r="D15" s="21"/>
      <c r="E15" s="12">
        <v>1248</v>
      </c>
      <c r="F15" s="12">
        <v>1403</v>
      </c>
      <c r="G15" s="21"/>
    </row>
    <row r="16" spans="1:8">
      <c r="A16" s="1">
        <v>40210</v>
      </c>
      <c r="B16" s="20"/>
      <c r="C16" s="22"/>
      <c r="D16" s="21"/>
      <c r="E16" s="12">
        <v>1039</v>
      </c>
      <c r="F16" s="12">
        <v>1114</v>
      </c>
      <c r="G16" s="21"/>
    </row>
    <row r="17" spans="1:7">
      <c r="A17" s="1">
        <v>40238</v>
      </c>
      <c r="B17" s="20"/>
      <c r="C17" s="22"/>
      <c r="D17" s="21"/>
      <c r="E17" s="12">
        <v>732</v>
      </c>
      <c r="F17" s="12">
        <v>1008</v>
      </c>
      <c r="G17" s="21"/>
    </row>
    <row r="18" spans="1:7">
      <c r="A18" s="1">
        <v>40269</v>
      </c>
      <c r="B18" s="20"/>
      <c r="C18" s="22"/>
      <c r="D18" s="21"/>
      <c r="E18" s="12">
        <v>426</v>
      </c>
      <c r="F18" s="12">
        <v>650</v>
      </c>
      <c r="G18" s="21"/>
    </row>
    <row r="19" spans="1:7">
      <c r="A19" s="1"/>
      <c r="B19" s="20"/>
      <c r="C19" s="22"/>
      <c r="D19" s="21"/>
    </row>
    <row r="20" spans="1:7">
      <c r="A20" s="1"/>
      <c r="B20" s="20"/>
      <c r="C20" s="22"/>
      <c r="D20" s="21"/>
      <c r="G20" s="21"/>
    </row>
    <row r="21" spans="1:7">
      <c r="A21" s="1"/>
      <c r="B21" s="20"/>
      <c r="C21" s="22"/>
      <c r="D21" s="21"/>
      <c r="E21" s="12">
        <f>SUM(E7:E18)</f>
        <v>6452</v>
      </c>
      <c r="F21" s="12">
        <f>SUM(F7:F18)</f>
        <v>7114</v>
      </c>
    </row>
    <row r="22" spans="1:7">
      <c r="A22" s="1"/>
      <c r="B22" s="20"/>
      <c r="C22" s="22"/>
      <c r="D22" s="21"/>
    </row>
    <row r="23" spans="1:7">
      <c r="A23" s="1"/>
      <c r="B23" s="20"/>
      <c r="C23" s="22"/>
      <c r="D23" s="21"/>
      <c r="E23" s="57" t="s">
        <v>127</v>
      </c>
      <c r="F23" s="61">
        <f>F21/E21</f>
        <v>1.1026038437693739</v>
      </c>
    </row>
    <row r="24" spans="1:7">
      <c r="A24" s="1"/>
      <c r="B24" s="20"/>
      <c r="C24" s="22"/>
      <c r="D24" s="21"/>
    </row>
    <row r="25" spans="1:7">
      <c r="A25" s="1"/>
      <c r="B25" s="20"/>
      <c r="C25" s="22"/>
      <c r="D25" s="21"/>
    </row>
    <row r="26" spans="1:7">
      <c r="A26" s="1"/>
      <c r="B26" s="20"/>
      <c r="C26" s="22"/>
      <c r="D26" s="21"/>
    </row>
    <row r="27" spans="1:7">
      <c r="A27" s="1"/>
      <c r="B27" s="20"/>
      <c r="C27" s="22"/>
      <c r="D27" s="21"/>
    </row>
    <row r="28" spans="1:7">
      <c r="A28" s="1"/>
      <c r="B28" s="20"/>
      <c r="C28" s="22"/>
      <c r="D28" s="21"/>
    </row>
    <row r="29" spans="1:7">
      <c r="A29" s="1"/>
      <c r="B29" s="5"/>
      <c r="C29" s="2"/>
      <c r="D29" s="21"/>
    </row>
    <row r="30" spans="1:7">
      <c r="B30" s="5"/>
      <c r="D30" s="21"/>
    </row>
    <row r="33" spans="1:25">
      <c r="A33" s="23"/>
      <c r="B33" s="24" t="s">
        <v>67</v>
      </c>
      <c r="C33" s="24"/>
      <c r="D33" s="24"/>
      <c r="E33" s="25"/>
    </row>
    <row r="34" spans="1:25">
      <c r="A34" s="26" t="s">
        <v>46</v>
      </c>
      <c r="B34" s="27" t="s">
        <v>49</v>
      </c>
      <c r="C34" s="27"/>
      <c r="D34" s="27"/>
      <c r="E34" s="28"/>
    </row>
    <row r="35" spans="1:25">
      <c r="A35" s="35">
        <v>39753</v>
      </c>
      <c r="B35" s="5">
        <v>97</v>
      </c>
      <c r="C35" s="27"/>
      <c r="D35" s="27"/>
      <c r="E35" s="28"/>
      <c r="F35" s="1"/>
      <c r="J35"/>
      <c r="K35"/>
      <c r="L35"/>
      <c r="M35"/>
      <c r="N35"/>
      <c r="O35"/>
      <c r="P35"/>
      <c r="Q35"/>
      <c r="R35"/>
      <c r="S35"/>
      <c r="T35"/>
      <c r="V35"/>
      <c r="W35"/>
      <c r="X35"/>
      <c r="Y35"/>
    </row>
    <row r="36" spans="1:25">
      <c r="A36" s="35">
        <v>39783</v>
      </c>
      <c r="B36" s="27">
        <v>74</v>
      </c>
      <c r="C36" s="27"/>
      <c r="D36" s="27"/>
      <c r="E36" s="28"/>
      <c r="F36" s="1"/>
      <c r="J36"/>
      <c r="K36" s="23" t="s">
        <v>82</v>
      </c>
      <c r="L36" s="24"/>
      <c r="M36" s="24"/>
      <c r="N36" s="24"/>
      <c r="O36" s="24"/>
      <c r="P36" s="24"/>
      <c r="Q36" s="24"/>
      <c r="R36" s="24"/>
      <c r="S36" s="24"/>
      <c r="T36" s="24"/>
      <c r="U36" s="23" t="s">
        <v>83</v>
      </c>
      <c r="V36" s="24"/>
      <c r="W36" s="24"/>
      <c r="X36" s="24"/>
      <c r="Y36" s="25"/>
    </row>
    <row r="37" spans="1:25">
      <c r="A37" s="35">
        <v>39814</v>
      </c>
      <c r="B37" s="27">
        <v>105</v>
      </c>
      <c r="C37" s="27"/>
      <c r="D37" s="27"/>
      <c r="E37" s="28"/>
      <c r="F37" s="1"/>
      <c r="J37"/>
      <c r="K37" s="26"/>
      <c r="L37" s="27"/>
      <c r="M37" s="27"/>
      <c r="N37" s="27" t="s">
        <v>81</v>
      </c>
      <c r="O37" s="27"/>
      <c r="P37" s="27"/>
      <c r="Q37" s="27" t="s">
        <v>76</v>
      </c>
      <c r="R37" s="27"/>
      <c r="S37" s="27"/>
      <c r="T37" s="27"/>
      <c r="U37" s="26" t="s">
        <v>65</v>
      </c>
      <c r="V37" s="27"/>
      <c r="W37" s="27" t="s">
        <v>66</v>
      </c>
      <c r="X37" s="27"/>
      <c r="Y37" s="28"/>
    </row>
    <row r="38" spans="1:25">
      <c r="A38" s="35">
        <v>39845</v>
      </c>
      <c r="B38" s="27">
        <v>105</v>
      </c>
      <c r="C38" s="27"/>
      <c r="D38" s="27"/>
      <c r="E38" s="28"/>
      <c r="F38" s="1"/>
      <c r="J38"/>
      <c r="K38" s="26" t="s">
        <v>68</v>
      </c>
      <c r="L38" s="27"/>
      <c r="M38" s="27"/>
      <c r="N38" s="27"/>
      <c r="O38" s="27"/>
      <c r="P38" s="27"/>
      <c r="Q38" s="27" t="s">
        <v>69</v>
      </c>
      <c r="R38" s="27" t="s">
        <v>70</v>
      </c>
      <c r="S38" s="27"/>
      <c r="T38" s="27"/>
      <c r="U38" s="26"/>
      <c r="V38" s="27"/>
      <c r="W38" s="27"/>
      <c r="X38" s="27"/>
      <c r="Y38" s="28"/>
    </row>
    <row r="39" spans="1:25">
      <c r="A39" s="35">
        <v>40024</v>
      </c>
      <c r="B39" s="27">
        <v>187</v>
      </c>
      <c r="C39" s="27"/>
      <c r="D39" s="27"/>
      <c r="E39" s="28"/>
      <c r="F39" s="1"/>
      <c r="J39"/>
      <c r="K39" s="26"/>
      <c r="L39" s="27"/>
      <c r="M39" s="27"/>
      <c r="N39" s="27"/>
      <c r="O39" s="27"/>
      <c r="P39" s="27"/>
      <c r="Q39" s="27">
        <v>375</v>
      </c>
      <c r="R39" s="31">
        <v>1312</v>
      </c>
      <c r="S39" s="27" t="s">
        <v>71</v>
      </c>
      <c r="T39" s="27"/>
      <c r="U39" s="35">
        <v>39588</v>
      </c>
      <c r="V39" s="27"/>
      <c r="W39" s="27">
        <v>498</v>
      </c>
      <c r="X39" s="27"/>
      <c r="Y39" s="28"/>
    </row>
    <row r="40" spans="1:25">
      <c r="A40" s="35"/>
      <c r="B40" s="27"/>
      <c r="C40" s="27"/>
      <c r="D40" s="27"/>
      <c r="E40" s="28"/>
      <c r="F40" s="1"/>
      <c r="J40"/>
      <c r="K40" s="26" t="s">
        <v>72</v>
      </c>
      <c r="L40" s="27" t="s">
        <v>73</v>
      </c>
      <c r="M40" s="27"/>
      <c r="N40" s="27"/>
      <c r="O40" s="27"/>
      <c r="P40" s="27"/>
      <c r="Q40" s="27">
        <v>150</v>
      </c>
      <c r="R40" s="31">
        <v>825</v>
      </c>
      <c r="S40" s="27" t="s">
        <v>74</v>
      </c>
      <c r="T40" s="27"/>
      <c r="U40" s="35">
        <v>39618</v>
      </c>
      <c r="V40" s="27"/>
      <c r="W40" s="27">
        <v>586</v>
      </c>
      <c r="X40" s="27"/>
      <c r="Y40" s="28"/>
    </row>
    <row r="41" spans="1:25">
      <c r="A41" s="35"/>
      <c r="B41" s="27">
        <f>SUM(B36:B39)</f>
        <v>471</v>
      </c>
      <c r="C41" s="27"/>
      <c r="D41" s="27"/>
      <c r="E41" s="28"/>
      <c r="F41" s="1"/>
      <c r="J41"/>
      <c r="K41" s="35">
        <v>39954</v>
      </c>
      <c r="L41" s="27">
        <v>496</v>
      </c>
      <c r="M41" s="27"/>
      <c r="N41" s="27"/>
      <c r="O41" s="27"/>
      <c r="P41" s="27"/>
      <c r="Q41" s="27"/>
      <c r="R41" s="27"/>
      <c r="S41" s="27"/>
      <c r="T41" s="27"/>
      <c r="U41" s="35">
        <v>39651</v>
      </c>
      <c r="V41" s="27"/>
      <c r="W41" s="27">
        <v>891</v>
      </c>
      <c r="X41" s="27"/>
      <c r="Y41" s="28"/>
    </row>
    <row r="42" spans="1:25">
      <c r="A42" s="35"/>
      <c r="B42" s="27"/>
      <c r="C42" s="27"/>
      <c r="D42" s="27"/>
      <c r="E42" s="28"/>
      <c r="F42" s="1"/>
      <c r="J42"/>
      <c r="K42" s="35">
        <v>39987</v>
      </c>
      <c r="L42" s="27">
        <v>620</v>
      </c>
      <c r="M42" s="27"/>
      <c r="N42" s="27"/>
      <c r="O42" s="27"/>
      <c r="P42" s="27"/>
      <c r="Q42" s="27"/>
      <c r="R42" s="27"/>
      <c r="S42" s="27"/>
      <c r="T42" s="27"/>
      <c r="U42" s="35">
        <v>39680</v>
      </c>
      <c r="V42" s="27"/>
      <c r="W42" s="27">
        <v>565</v>
      </c>
      <c r="X42" s="27"/>
      <c r="Y42" s="28"/>
    </row>
    <row r="43" spans="1:25">
      <c r="A43" s="36" t="s">
        <v>84</v>
      </c>
      <c r="B43" s="29"/>
      <c r="C43" s="29"/>
      <c r="D43" s="29"/>
      <c r="E43" s="30"/>
      <c r="F43" s="1"/>
      <c r="J43"/>
      <c r="K43" s="35">
        <v>40017</v>
      </c>
      <c r="L43" s="27">
        <v>816</v>
      </c>
      <c r="M43" s="27"/>
      <c r="N43" s="27"/>
      <c r="O43" s="27"/>
      <c r="P43" s="27"/>
      <c r="Q43" s="27" t="s">
        <v>78</v>
      </c>
      <c r="R43" s="27"/>
      <c r="S43" s="27"/>
      <c r="T43" s="27"/>
      <c r="U43" s="35">
        <v>39710</v>
      </c>
      <c r="V43" s="27"/>
      <c r="W43" s="27">
        <v>378</v>
      </c>
      <c r="X43" s="27"/>
      <c r="Y43" s="28"/>
    </row>
    <row r="44" spans="1:25">
      <c r="A44" s="1"/>
      <c r="F44" s="1"/>
      <c r="J44"/>
      <c r="K44" s="35">
        <v>40045</v>
      </c>
      <c r="L44" s="27">
        <v>889</v>
      </c>
      <c r="M44" s="27"/>
      <c r="N44" s="27"/>
      <c r="O44" s="27"/>
      <c r="P44" s="27"/>
      <c r="Q44" s="27" t="s">
        <v>79</v>
      </c>
      <c r="R44" s="27"/>
      <c r="S44" s="27"/>
      <c r="T44" s="27"/>
      <c r="U44" s="35">
        <v>39742</v>
      </c>
      <c r="V44" s="27"/>
      <c r="W44" s="27">
        <v>578</v>
      </c>
      <c r="X44" s="27"/>
      <c r="Y44" s="28"/>
    </row>
    <row r="45" spans="1:25">
      <c r="A45" s="1"/>
      <c r="B45" s="27"/>
      <c r="C45" s="27"/>
      <c r="D45" s="27"/>
      <c r="E45" s="27"/>
      <c r="F45" s="42"/>
      <c r="G45" s="27"/>
      <c r="H45" s="27"/>
      <c r="I45" s="27"/>
      <c r="J45" s="28"/>
      <c r="K45" s="35">
        <v>40078</v>
      </c>
      <c r="L45" s="27">
        <v>788</v>
      </c>
      <c r="M45" s="27"/>
      <c r="N45" s="27"/>
      <c r="O45" s="27"/>
      <c r="P45" s="27"/>
      <c r="Q45" s="27" t="s">
        <v>80</v>
      </c>
      <c r="R45" s="27"/>
      <c r="S45" s="27"/>
      <c r="T45" s="27"/>
      <c r="U45" s="35">
        <v>39771</v>
      </c>
      <c r="V45" s="27"/>
      <c r="W45" s="27">
        <v>506</v>
      </c>
      <c r="X45" s="27"/>
      <c r="Y45" s="28"/>
    </row>
    <row r="46" spans="1:25">
      <c r="A46" s="1"/>
      <c r="B46" s="27"/>
      <c r="C46" s="27"/>
      <c r="D46" s="27"/>
      <c r="E46" s="27"/>
      <c r="F46" s="42"/>
      <c r="G46" s="27"/>
      <c r="H46" s="27"/>
      <c r="I46" s="27"/>
      <c r="J46" s="28"/>
      <c r="K46" s="35">
        <v>40107</v>
      </c>
      <c r="L46" s="27">
        <v>558</v>
      </c>
      <c r="M46" s="27"/>
      <c r="N46" s="27"/>
      <c r="O46" s="27"/>
      <c r="P46" s="27"/>
      <c r="Q46" s="27"/>
      <c r="R46" s="27"/>
      <c r="S46" s="27"/>
      <c r="T46" s="27"/>
      <c r="U46" s="35">
        <v>39799</v>
      </c>
      <c r="V46" s="27"/>
      <c r="W46" s="27">
        <v>903</v>
      </c>
      <c r="X46" s="27"/>
      <c r="Y46" s="28"/>
    </row>
    <row r="47" spans="1:25">
      <c r="A47" s="1"/>
      <c r="B47" s="27"/>
      <c r="C47" s="27"/>
      <c r="D47" s="27"/>
      <c r="E47" s="27"/>
      <c r="F47" s="42"/>
      <c r="G47" s="27"/>
      <c r="H47" s="27"/>
      <c r="I47" s="27"/>
      <c r="J47" s="28"/>
      <c r="K47" s="35">
        <v>40136</v>
      </c>
      <c r="L47" s="27">
        <v>526</v>
      </c>
      <c r="M47" s="27"/>
      <c r="N47" s="27"/>
      <c r="O47" s="27"/>
      <c r="P47" s="27"/>
      <c r="Q47" s="27"/>
      <c r="R47" s="27"/>
      <c r="S47" s="27"/>
      <c r="T47" s="27"/>
      <c r="U47" s="35">
        <v>39835</v>
      </c>
      <c r="V47" s="27"/>
      <c r="W47" s="27">
        <v>1084</v>
      </c>
      <c r="X47" s="27"/>
      <c r="Y47" s="28"/>
    </row>
    <row r="48" spans="1:25">
      <c r="A48" s="1"/>
      <c r="B48" s="27"/>
      <c r="C48" s="27"/>
      <c r="D48" s="27"/>
      <c r="E48" s="27"/>
      <c r="F48" s="42"/>
      <c r="G48" s="27"/>
      <c r="H48" s="27"/>
      <c r="I48" s="27"/>
      <c r="J48" s="28"/>
      <c r="K48" s="35">
        <v>40168</v>
      </c>
      <c r="L48" s="27">
        <v>586</v>
      </c>
      <c r="M48" s="27"/>
      <c r="N48" s="27"/>
      <c r="O48" s="27"/>
      <c r="P48" s="27"/>
      <c r="Q48" s="27"/>
      <c r="R48" s="27"/>
      <c r="S48" s="27"/>
      <c r="T48" s="27"/>
      <c r="U48" s="35">
        <v>39864</v>
      </c>
      <c r="V48" s="27"/>
      <c r="W48" s="27">
        <v>813</v>
      </c>
      <c r="X48" s="27"/>
      <c r="Y48" s="28"/>
    </row>
    <row r="49" spans="1:25">
      <c r="A49" s="1"/>
      <c r="B49" s="40"/>
      <c r="C49" s="27"/>
      <c r="D49" s="27"/>
      <c r="E49" s="40"/>
      <c r="F49" s="40"/>
      <c r="G49" s="27"/>
      <c r="H49" s="40"/>
      <c r="I49" s="40"/>
      <c r="J49" s="28"/>
      <c r="K49" s="35">
        <v>40201</v>
      </c>
      <c r="L49" s="27">
        <v>816</v>
      </c>
      <c r="M49" s="27"/>
      <c r="N49" s="27"/>
      <c r="O49" s="27"/>
      <c r="P49" s="27"/>
      <c r="Q49" s="27"/>
      <c r="R49" s="27"/>
      <c r="S49" s="27"/>
      <c r="T49" s="27"/>
      <c r="U49" s="35">
        <v>39896</v>
      </c>
      <c r="V49" s="27"/>
      <c r="W49" s="27">
        <v>813</v>
      </c>
      <c r="X49" s="27"/>
      <c r="Y49" s="28"/>
    </row>
    <row r="50" spans="1:25">
      <c r="A50" s="1"/>
      <c r="B50" s="27"/>
      <c r="C50" s="27"/>
      <c r="D50" s="27"/>
      <c r="E50" s="27"/>
      <c r="F50" s="42"/>
      <c r="G50" s="27"/>
      <c r="H50" s="27"/>
      <c r="I50" s="27"/>
      <c r="J50" s="28"/>
      <c r="K50" s="35">
        <v>40231</v>
      </c>
      <c r="L50" s="27">
        <v>585</v>
      </c>
      <c r="M50" s="27"/>
      <c r="N50" s="27"/>
      <c r="O50" s="27"/>
      <c r="P50" s="27"/>
      <c r="Q50" s="27"/>
      <c r="R50" s="27"/>
      <c r="S50" s="27"/>
      <c r="T50" s="27"/>
      <c r="U50" s="35">
        <v>39926</v>
      </c>
      <c r="V50" s="27"/>
      <c r="W50" s="27">
        <v>560</v>
      </c>
      <c r="X50" s="27"/>
      <c r="Y50" s="28"/>
    </row>
    <row r="51" spans="1:25">
      <c r="A51" s="1"/>
      <c r="F51" s="1"/>
      <c r="J51"/>
      <c r="K51" s="35">
        <v>40261</v>
      </c>
      <c r="L51" s="27">
        <v>594</v>
      </c>
      <c r="M51" s="27"/>
      <c r="N51" s="27"/>
      <c r="O51" s="27"/>
      <c r="P51" s="27"/>
      <c r="Q51" s="27"/>
      <c r="R51" s="27"/>
      <c r="S51" s="27"/>
      <c r="T51" s="27"/>
      <c r="U51" s="36">
        <v>39956</v>
      </c>
      <c r="V51" s="29"/>
      <c r="W51" s="29">
        <v>1196</v>
      </c>
      <c r="X51" s="29"/>
      <c r="Y51" s="30"/>
    </row>
    <row r="52" spans="1:25">
      <c r="A52" s="1"/>
      <c r="F52" s="1"/>
      <c r="J52"/>
      <c r="K52" s="35">
        <v>40291</v>
      </c>
      <c r="L52" s="27">
        <v>535</v>
      </c>
      <c r="M52" s="27"/>
      <c r="N52" s="27"/>
      <c r="O52" s="27"/>
      <c r="P52" s="27"/>
      <c r="Q52" s="27"/>
      <c r="R52" s="27"/>
      <c r="S52" s="27"/>
      <c r="T52" s="28"/>
      <c r="U52"/>
      <c r="V52"/>
      <c r="W52"/>
      <c r="X52"/>
      <c r="Y52"/>
    </row>
    <row r="53" spans="1:25">
      <c r="A53" s="1"/>
      <c r="J53"/>
      <c r="K53" s="35"/>
      <c r="L53" s="27"/>
      <c r="M53" s="27"/>
      <c r="N53" s="27"/>
      <c r="O53" s="27"/>
      <c r="P53" s="27"/>
      <c r="Q53" s="27"/>
      <c r="R53" s="27"/>
      <c r="S53" s="27"/>
      <c r="T53" s="28"/>
      <c r="U53"/>
      <c r="V53"/>
      <c r="W53"/>
      <c r="X53"/>
      <c r="Y53"/>
    </row>
    <row r="54" spans="1:25">
      <c r="A54" s="1"/>
      <c r="J54"/>
      <c r="K54" s="35"/>
      <c r="L54" s="27"/>
      <c r="M54" s="27"/>
      <c r="N54" s="27" t="s">
        <v>75</v>
      </c>
      <c r="O54" s="27">
        <f>SUM(L41:L52)</f>
        <v>7809</v>
      </c>
      <c r="P54" s="27"/>
      <c r="Q54" s="27"/>
      <c r="R54" s="27"/>
      <c r="S54" s="27"/>
      <c r="T54" s="28"/>
      <c r="U54"/>
      <c r="V54"/>
      <c r="W54"/>
      <c r="X54"/>
      <c r="Y54"/>
    </row>
    <row r="55" spans="1:25">
      <c r="A55" s="1"/>
      <c r="J55"/>
      <c r="K55" s="32"/>
      <c r="L55" s="27"/>
      <c r="M55" s="27"/>
      <c r="N55" s="27"/>
      <c r="O55" s="27"/>
      <c r="P55" s="27"/>
      <c r="Q55" s="27"/>
      <c r="R55" s="27"/>
      <c r="S55" s="27"/>
      <c r="T55" s="28"/>
      <c r="U55"/>
      <c r="V55"/>
      <c r="W55"/>
      <c r="X55"/>
      <c r="Y55"/>
    </row>
    <row r="56" spans="1:25">
      <c r="A56" s="1"/>
      <c r="J56"/>
      <c r="K56" s="33" t="s">
        <v>77</v>
      </c>
      <c r="L56" s="29"/>
      <c r="M56" s="29"/>
      <c r="N56" s="29"/>
      <c r="O56" s="29"/>
      <c r="P56" s="29"/>
      <c r="Q56" s="29"/>
      <c r="R56" s="29"/>
      <c r="S56" s="29"/>
      <c r="T56" s="30"/>
      <c r="U56"/>
      <c r="V56"/>
      <c r="W56"/>
      <c r="X56"/>
      <c r="Y56"/>
    </row>
    <row r="57" spans="1:25">
      <c r="A57" s="1"/>
      <c r="J57"/>
      <c r="K57" s="34"/>
      <c r="L57" s="27"/>
      <c r="M57" s="27"/>
      <c r="N57" s="27"/>
      <c r="O57" s="27"/>
      <c r="P57" s="27"/>
      <c r="Q57" s="27"/>
      <c r="R57" s="27"/>
      <c r="S57" s="27"/>
      <c r="T57" s="27"/>
      <c r="U57"/>
      <c r="V57"/>
      <c r="W57"/>
      <c r="X57"/>
      <c r="Y57"/>
    </row>
    <row r="58" spans="1:25">
      <c r="A58" s="38"/>
      <c r="B58" s="24"/>
      <c r="C58" s="24"/>
      <c r="D58" s="24"/>
      <c r="E58" s="24"/>
      <c r="F58" s="39"/>
      <c r="G58" s="24"/>
      <c r="H58" s="24"/>
      <c r="I58" s="24" t="s">
        <v>103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5"/>
    </row>
    <row r="59" spans="1:25">
      <c r="A59" s="26"/>
      <c r="B59" s="27"/>
      <c r="C59" s="27" t="s">
        <v>25</v>
      </c>
      <c r="D59" s="27"/>
      <c r="E59" s="40">
        <f>1/E61</f>
        <v>292.99736302373282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8"/>
    </row>
    <row r="60" spans="1:25">
      <c r="A60" s="26"/>
      <c r="B60" s="27"/>
      <c r="C60" s="27" t="s">
        <v>22</v>
      </c>
      <c r="D60" s="27"/>
      <c r="E60" s="41">
        <f>100000/1000000</f>
        <v>0.1</v>
      </c>
      <c r="F60" s="27"/>
      <c r="G60" s="27"/>
      <c r="H60" s="27"/>
      <c r="I60" s="27" t="s">
        <v>107</v>
      </c>
      <c r="J60" s="27"/>
      <c r="K60" s="27"/>
      <c r="L60" s="27"/>
      <c r="M60" s="27"/>
      <c r="N60" s="27"/>
      <c r="O60" s="27"/>
      <c r="P60" s="40"/>
      <c r="Q60" s="27"/>
      <c r="R60" s="27"/>
      <c r="S60" s="27"/>
      <c r="T60" s="27"/>
      <c r="U60" s="27"/>
      <c r="V60" s="27"/>
      <c r="W60" s="27"/>
      <c r="X60" s="27"/>
      <c r="Y60" s="28"/>
    </row>
    <row r="61" spans="1:25">
      <c r="A61" s="26"/>
      <c r="B61" s="27"/>
      <c r="C61" s="27" t="s">
        <v>21</v>
      </c>
      <c r="D61" s="27"/>
      <c r="E61" s="27">
        <f>3413/1000000</f>
        <v>3.4129999999999998E-3</v>
      </c>
      <c r="F61" s="27"/>
      <c r="G61" s="27"/>
      <c r="H61" s="27"/>
      <c r="I61" s="27" t="s">
        <v>128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</row>
    <row r="62" spans="1:25">
      <c r="A62" s="26"/>
      <c r="B62" s="27"/>
      <c r="C62" s="27" t="s">
        <v>95</v>
      </c>
      <c r="D62" s="27"/>
      <c r="E62" s="27">
        <f>138.6905/1000</f>
        <v>0.13869049999999999</v>
      </c>
      <c r="F62" s="27"/>
      <c r="G62" s="27"/>
      <c r="H62" s="27"/>
      <c r="I62" s="7"/>
      <c r="J62" s="27"/>
      <c r="K62" s="27"/>
      <c r="L62" s="27" t="s">
        <v>120</v>
      </c>
      <c r="M62" s="27"/>
      <c r="N62" s="27"/>
      <c r="O62" s="27" t="s">
        <v>120</v>
      </c>
      <c r="P62" s="27"/>
      <c r="Q62" s="27"/>
      <c r="R62" s="27"/>
      <c r="S62" s="27"/>
      <c r="T62" s="27"/>
      <c r="U62" s="27"/>
      <c r="V62" s="27"/>
      <c r="W62" s="27"/>
      <c r="X62" s="27"/>
      <c r="Y62" s="28"/>
    </row>
    <row r="63" spans="1:25">
      <c r="A63" s="26"/>
      <c r="B63" s="27" t="s">
        <v>87</v>
      </c>
      <c r="C63" s="27"/>
      <c r="D63" s="27"/>
      <c r="E63" s="27">
        <f>7.75*40/1000</f>
        <v>0.31</v>
      </c>
      <c r="F63" s="27"/>
      <c r="G63" s="27"/>
      <c r="H63" s="27"/>
      <c r="I63" s="7"/>
      <c r="J63" s="27"/>
      <c r="K63" s="27"/>
      <c r="L63" s="27" t="s">
        <v>129</v>
      </c>
      <c r="M63" s="7" t="s">
        <v>130</v>
      </c>
      <c r="N63" s="27"/>
      <c r="O63" s="7" t="s">
        <v>131</v>
      </c>
      <c r="P63" s="7" t="s">
        <v>132</v>
      </c>
      <c r="Q63" s="27"/>
      <c r="R63" s="27"/>
      <c r="S63" s="27"/>
      <c r="T63" s="27"/>
      <c r="U63" s="27"/>
      <c r="V63" s="27"/>
      <c r="W63" s="27"/>
      <c r="X63" s="27"/>
      <c r="Y63" s="28"/>
    </row>
    <row r="64" spans="1:25">
      <c r="A64" s="26"/>
      <c r="B64" s="27" t="s">
        <v>24</v>
      </c>
      <c r="C64" s="27"/>
      <c r="D64" s="27"/>
      <c r="E64" s="27">
        <v>3.34</v>
      </c>
      <c r="F64" s="27"/>
      <c r="G64" s="27"/>
      <c r="H64" s="27"/>
      <c r="I64" s="27"/>
      <c r="J64" s="27"/>
      <c r="K64" s="27"/>
      <c r="L64" s="40">
        <f>$F$23*D72</f>
        <v>57.345254397861126</v>
      </c>
      <c r="M64" s="40">
        <f>$F$23*L72</f>
        <v>51.271078735275886</v>
      </c>
      <c r="N64" s="27"/>
      <c r="O64" s="40">
        <f>L64+M64+R72</f>
        <v>135.26845013313701</v>
      </c>
      <c r="P64" s="40">
        <f>L64*$E$66+M64*$E$67+R72*$E$64</f>
        <v>198.20785645711561</v>
      </c>
      <c r="Q64" s="27"/>
      <c r="R64" s="27"/>
      <c r="S64" s="27"/>
      <c r="T64" s="27"/>
      <c r="U64" s="27"/>
      <c r="V64" s="27"/>
      <c r="W64" s="27"/>
      <c r="X64" s="27"/>
      <c r="Y64" s="28"/>
    </row>
    <row r="65" spans="1:30">
      <c r="A65" s="26"/>
      <c r="B65" s="27" t="s">
        <v>23</v>
      </c>
      <c r="C65" s="27"/>
      <c r="D65" s="27"/>
      <c r="E65" s="27">
        <v>1.0469999999999999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</row>
    <row r="66" spans="1:30">
      <c r="A66" s="26"/>
      <c r="B66" s="27" t="s">
        <v>94</v>
      </c>
      <c r="C66" s="27"/>
      <c r="D66" s="27"/>
      <c r="E66" s="27">
        <v>1.01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8"/>
    </row>
    <row r="67" spans="1:30">
      <c r="A67" s="26"/>
      <c r="B67" s="27" t="s">
        <v>99</v>
      </c>
      <c r="C67" s="27"/>
      <c r="D67" s="27"/>
      <c r="E67" s="27">
        <v>1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8"/>
    </row>
    <row r="68" spans="1:30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68" t="s">
        <v>1</v>
      </c>
      <c r="O68" s="68"/>
      <c r="P68" s="27"/>
      <c r="Q68" s="27"/>
      <c r="R68" s="27"/>
      <c r="S68" s="27"/>
      <c r="T68" s="27"/>
      <c r="U68" s="27"/>
      <c r="V68" s="27"/>
      <c r="W68" s="27"/>
      <c r="X68" s="27"/>
      <c r="Y68" s="28"/>
      <c r="AD68" s="12" t="s">
        <v>31</v>
      </c>
    </row>
    <row r="69" spans="1:30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 t="s">
        <v>101</v>
      </c>
      <c r="M69" s="27"/>
      <c r="N69" s="27"/>
      <c r="O69" s="27" t="s">
        <v>29</v>
      </c>
      <c r="P69" s="27" t="s">
        <v>30</v>
      </c>
      <c r="Q69" s="27"/>
      <c r="R69" s="27" t="s">
        <v>29</v>
      </c>
      <c r="S69" s="27" t="s">
        <v>102</v>
      </c>
      <c r="T69" s="27"/>
      <c r="U69" s="27" t="s">
        <v>28</v>
      </c>
      <c r="V69" s="27"/>
      <c r="W69" s="27"/>
      <c r="X69" s="27" t="s">
        <v>100</v>
      </c>
      <c r="Y69" s="28"/>
    </row>
    <row r="70" spans="1:30">
      <c r="A70" s="26" t="s">
        <v>93</v>
      </c>
      <c r="B70" s="27"/>
      <c r="C70" s="27" t="s">
        <v>97</v>
      </c>
      <c r="D70" s="27" t="s">
        <v>18</v>
      </c>
      <c r="E70" s="27" t="s">
        <v>19</v>
      </c>
      <c r="F70" s="27"/>
      <c r="G70" s="27" t="s">
        <v>17</v>
      </c>
      <c r="H70" s="27" t="s">
        <v>20</v>
      </c>
      <c r="I70" s="27"/>
      <c r="J70" s="27" t="s">
        <v>98</v>
      </c>
      <c r="K70" s="27"/>
      <c r="L70" s="27" t="s">
        <v>100</v>
      </c>
      <c r="M70" s="27" t="s">
        <v>66</v>
      </c>
      <c r="N70" s="37"/>
      <c r="O70" s="37" t="s">
        <v>66</v>
      </c>
      <c r="P70" s="27" t="s">
        <v>66</v>
      </c>
      <c r="Q70" s="27"/>
      <c r="R70" s="27" t="s">
        <v>100</v>
      </c>
      <c r="S70" s="27" t="s">
        <v>100</v>
      </c>
      <c r="T70" s="27"/>
      <c r="U70" s="27" t="s">
        <v>29</v>
      </c>
      <c r="V70" s="27" t="s">
        <v>30</v>
      </c>
      <c r="W70" s="27"/>
      <c r="X70" s="27" t="s">
        <v>29</v>
      </c>
      <c r="Y70" s="28" t="s">
        <v>30</v>
      </c>
    </row>
    <row r="71" spans="1:30">
      <c r="A71" s="26"/>
      <c r="B71" s="27"/>
      <c r="C71" s="27"/>
      <c r="D71" s="27"/>
      <c r="E71" s="27"/>
      <c r="F71" s="27"/>
      <c r="G71" s="27"/>
      <c r="H71" s="27"/>
      <c r="I71" s="27"/>
      <c r="J71" s="42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8"/>
    </row>
    <row r="72" spans="1:30">
      <c r="A72" s="26" t="s">
        <v>96</v>
      </c>
      <c r="B72" s="42"/>
      <c r="C72" s="7">
        <f>Q39</f>
        <v>375</v>
      </c>
      <c r="D72" s="20">
        <f>C72*E$62</f>
        <v>52.008937499999995</v>
      </c>
      <c r="E72" s="40">
        <f>D72*E$66</f>
        <v>52.529026874999992</v>
      </c>
      <c r="F72" s="27"/>
      <c r="G72" s="40">
        <f>D72*E$59</f>
        <v>15238.481541166129</v>
      </c>
      <c r="H72" s="40">
        <f>E72*E$59</f>
        <v>15390.86635657779</v>
      </c>
      <c r="I72" s="40"/>
      <c r="J72" s="40">
        <f>Q40</f>
        <v>150</v>
      </c>
      <c r="K72" s="27"/>
      <c r="L72" s="27">
        <f>J72*E$63</f>
        <v>46.5</v>
      </c>
      <c r="M72" s="27">
        <f>L72*E$59</f>
        <v>13624.377380603575</v>
      </c>
      <c r="N72" s="37"/>
      <c r="O72" s="37">
        <f>O54</f>
        <v>7809</v>
      </c>
      <c r="P72" s="40">
        <f>O72*E$64</f>
        <v>26082.059999999998</v>
      </c>
      <c r="Q72" s="27"/>
      <c r="R72" s="40">
        <f>O72*E$61</f>
        <v>26.652116999999997</v>
      </c>
      <c r="S72" s="40">
        <f>P72*E$61</f>
        <v>89.018070779999988</v>
      </c>
      <c r="T72" s="27"/>
      <c r="U72" s="40">
        <f>G72+M72+O72</f>
        <v>36671.858921769701</v>
      </c>
      <c r="V72" s="40">
        <f>H72+M72+P72</f>
        <v>55097.303737181363</v>
      </c>
      <c r="W72" s="40"/>
      <c r="X72" s="40">
        <f>D72+L72+R72</f>
        <v>125.16105450000001</v>
      </c>
      <c r="Y72" s="43">
        <f>E72+L72+S72</f>
        <v>188.04709765499999</v>
      </c>
    </row>
    <row r="73" spans="1:30">
      <c r="A73" s="44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30"/>
    </row>
  </sheetData>
  <mergeCells count="1">
    <mergeCell ref="N68:O6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X68"/>
  <sheetViews>
    <sheetView topLeftCell="A10" workbookViewId="0">
      <selection activeCell="F28" sqref="F28"/>
    </sheetView>
  </sheetViews>
  <sheetFormatPr defaultRowHeight="15"/>
  <cols>
    <col min="1" max="1" width="10.42578125" bestFit="1" customWidth="1"/>
    <col min="2" max="2" width="11.5703125" bestFit="1" customWidth="1"/>
    <col min="6" max="6" width="10.42578125" bestFit="1" customWidth="1"/>
    <col min="23" max="23" width="9.140625" style="12"/>
  </cols>
  <sheetData>
    <row r="2" spans="1:8">
      <c r="B2" s="12" t="s">
        <v>39</v>
      </c>
      <c r="E2" s="14"/>
      <c r="F2" s="12" t="s">
        <v>43</v>
      </c>
      <c r="H2">
        <f>91.6476/1000</f>
        <v>9.1647599999999996E-2</v>
      </c>
    </row>
    <row r="3" spans="1:8">
      <c r="B3" s="12" t="s">
        <v>40</v>
      </c>
    </row>
    <row r="4" spans="1:8">
      <c r="D4" s="12" t="s">
        <v>41</v>
      </c>
    </row>
    <row r="5" spans="1:8">
      <c r="B5" s="12" t="s">
        <v>33</v>
      </c>
      <c r="C5" s="12" t="s">
        <v>34</v>
      </c>
      <c r="D5" t="s">
        <v>0</v>
      </c>
    </row>
    <row r="6" spans="1:8" s="12" customFormat="1">
      <c r="A6" s="12" t="s">
        <v>14</v>
      </c>
    </row>
    <row r="7" spans="1:8" s="12" customFormat="1">
      <c r="A7" s="1">
        <v>40452</v>
      </c>
      <c r="B7" s="20"/>
      <c r="C7" s="22">
        <f>B7*H2</f>
        <v>0</v>
      </c>
      <c r="D7" s="5">
        <f>HDD!B10</f>
        <v>465</v>
      </c>
    </row>
    <row r="8" spans="1:8" s="12" customFormat="1">
      <c r="A8" s="1">
        <v>40483</v>
      </c>
      <c r="B8" s="20">
        <f>G35</f>
        <v>0</v>
      </c>
      <c r="C8" s="22">
        <f>B8*H2</f>
        <v>0</v>
      </c>
      <c r="D8" s="5">
        <f>HDD!B11</f>
        <v>741</v>
      </c>
    </row>
    <row r="9" spans="1:8">
      <c r="A9" s="1">
        <v>40513</v>
      </c>
      <c r="B9" s="20">
        <f t="shared" ref="B9:B26" si="0">G36</f>
        <v>6.3873626373626369</v>
      </c>
      <c r="C9" s="22">
        <f>B9*H2</f>
        <v>0.585386456043956</v>
      </c>
      <c r="D9" s="5">
        <f>HDD!B12</f>
        <v>1185</v>
      </c>
      <c r="E9" s="12" t="s">
        <v>86</v>
      </c>
    </row>
    <row r="10" spans="1:8">
      <c r="A10" s="1">
        <v>40544</v>
      </c>
      <c r="B10" s="20">
        <f t="shared" si="0"/>
        <v>6.3873626373626369</v>
      </c>
      <c r="C10" s="22">
        <f>B10*H2</f>
        <v>0.585386456043956</v>
      </c>
      <c r="D10" s="5">
        <f>HDD!B13</f>
        <v>1326</v>
      </c>
    </row>
    <row r="11" spans="1:8">
      <c r="A11" s="1">
        <v>40575</v>
      </c>
      <c r="B11" s="20">
        <f t="shared" si="0"/>
        <v>5.7692307692307692</v>
      </c>
      <c r="C11" s="22">
        <f>B11*H2</f>
        <v>0.5287361538461538</v>
      </c>
      <c r="D11" s="5">
        <f>HDD!B14</f>
        <v>1103</v>
      </c>
    </row>
    <row r="12" spans="1:8">
      <c r="A12" s="1">
        <v>40603</v>
      </c>
      <c r="B12" s="20">
        <f t="shared" si="0"/>
        <v>6.3873626373626369</v>
      </c>
      <c r="C12" s="22">
        <f>B12*H2</f>
        <v>0.585386456043956</v>
      </c>
      <c r="D12" s="5">
        <f>HDD!B15</f>
        <v>960</v>
      </c>
    </row>
    <row r="13" spans="1:8">
      <c r="A13" s="1">
        <v>40634</v>
      </c>
      <c r="B13" s="20">
        <f t="shared" si="0"/>
        <v>2.4172661870503593</v>
      </c>
      <c r="C13" s="22">
        <f>B13*H2</f>
        <v>0.22153664460431649</v>
      </c>
      <c r="D13" s="5">
        <f>HDD!B16</f>
        <v>542</v>
      </c>
    </row>
    <row r="14" spans="1:8">
      <c r="A14" s="1">
        <v>40664</v>
      </c>
      <c r="B14" s="20">
        <f t="shared" si="0"/>
        <v>2.497841726618705</v>
      </c>
      <c r="C14" s="22">
        <f>B14*H2</f>
        <v>0.2289211994244604</v>
      </c>
      <c r="D14" s="5">
        <f>HDD!B17</f>
        <v>284</v>
      </c>
    </row>
    <row r="15" spans="1:8">
      <c r="A15" s="1">
        <v>40695</v>
      </c>
      <c r="B15" s="20">
        <f t="shared" si="0"/>
        <v>2.4172661870503593</v>
      </c>
      <c r="C15" s="22">
        <f>B15*H2</f>
        <v>0.22153664460431649</v>
      </c>
      <c r="D15" s="5">
        <f>HDD!B18</f>
        <v>113</v>
      </c>
    </row>
    <row r="16" spans="1:8">
      <c r="A16" s="1">
        <v>40725</v>
      </c>
      <c r="B16" s="20">
        <f t="shared" si="0"/>
        <v>2.497841726618705</v>
      </c>
      <c r="C16" s="22">
        <f>B16*H2</f>
        <v>0.2289211994244604</v>
      </c>
      <c r="D16" s="5">
        <f>HDD!B19</f>
        <v>11</v>
      </c>
    </row>
    <row r="17" spans="1:24">
      <c r="A17" s="1">
        <v>40756</v>
      </c>
      <c r="B17" s="20">
        <f t="shared" si="0"/>
        <v>4.3894901470128245</v>
      </c>
      <c r="C17" s="22">
        <f>B17*H2</f>
        <v>0.4022862371973725</v>
      </c>
      <c r="D17" s="5">
        <f>HDD!B20</f>
        <v>28</v>
      </c>
    </row>
    <row r="18" spans="1:24">
      <c r="A18" s="1">
        <v>40787</v>
      </c>
      <c r="B18" s="20">
        <f t="shared" si="0"/>
        <v>6.7826086956521738</v>
      </c>
      <c r="C18" s="22">
        <f>B18*H2</f>
        <v>0.62160980869565219</v>
      </c>
      <c r="D18" s="5">
        <f>HDD!B21</f>
        <v>114</v>
      </c>
    </row>
    <row r="19" spans="1:24">
      <c r="A19" s="1">
        <v>40817</v>
      </c>
      <c r="B19" s="20">
        <f t="shared" si="0"/>
        <v>7.0086956521739134</v>
      </c>
      <c r="C19" s="22">
        <f>B19*H2</f>
        <v>0.64233013565217389</v>
      </c>
      <c r="D19" s="5">
        <f>HDD!B22</f>
        <v>438</v>
      </c>
    </row>
    <row r="20" spans="1:24">
      <c r="A20" s="1">
        <v>40848</v>
      </c>
      <c r="B20" s="20">
        <f t="shared" si="0"/>
        <v>6.7826086956521738</v>
      </c>
      <c r="C20" s="22">
        <f>B20*H2</f>
        <v>0.62160980869565219</v>
      </c>
      <c r="D20" s="5">
        <f>HDD!B23</f>
        <v>556</v>
      </c>
    </row>
    <row r="21" spans="1:24">
      <c r="A21" s="1">
        <v>40878</v>
      </c>
      <c r="B21" s="20">
        <f t="shared" si="0"/>
        <v>7.0086956521739134</v>
      </c>
      <c r="C21" s="22">
        <f>B21*H2</f>
        <v>0.64233013565217389</v>
      </c>
      <c r="D21" s="5">
        <f>HDD!B24</f>
        <v>897</v>
      </c>
    </row>
    <row r="22" spans="1:24">
      <c r="A22" s="1">
        <v>40909</v>
      </c>
      <c r="B22" s="20">
        <f t="shared" si="0"/>
        <v>6.6076726342710996</v>
      </c>
      <c r="C22" s="22">
        <f>B22*H2</f>
        <v>0.60557733851662399</v>
      </c>
      <c r="D22" s="5">
        <f>HDD!B25</f>
        <v>1116</v>
      </c>
    </row>
    <row r="23" spans="1:24">
      <c r="A23" s="1">
        <v>40940</v>
      </c>
      <c r="B23" s="20">
        <f t="shared" si="0"/>
        <v>6.1411764705882348</v>
      </c>
      <c r="C23" s="22">
        <f>B23*H2</f>
        <v>0.5628240847058823</v>
      </c>
      <c r="D23" s="5">
        <f>HDD!B26</f>
        <v>926</v>
      </c>
    </row>
    <row r="24" spans="1:24">
      <c r="A24" s="1">
        <v>40969</v>
      </c>
      <c r="B24" s="20">
        <f t="shared" si="0"/>
        <v>6.5647058823529409</v>
      </c>
      <c r="C24" s="22">
        <f>B24*H2</f>
        <v>0.60163953882352939</v>
      </c>
      <c r="D24" s="5">
        <f>HDD!B27</f>
        <v>675</v>
      </c>
    </row>
    <row r="25" spans="1:24">
      <c r="A25" s="1">
        <v>41000</v>
      </c>
      <c r="B25" s="20">
        <f t="shared" si="0"/>
        <v>6.3529411764705879</v>
      </c>
      <c r="C25" s="22">
        <f>B25*H2</f>
        <v>0.58223181176470584</v>
      </c>
      <c r="D25" s="5">
        <f>HDD!B28</f>
        <v>499</v>
      </c>
    </row>
    <row r="26" spans="1:24">
      <c r="A26" s="1">
        <v>41030</v>
      </c>
      <c r="B26" s="20">
        <f t="shared" si="0"/>
        <v>3.8117647058823527</v>
      </c>
      <c r="C26" s="22">
        <f>B26*H2</f>
        <v>0.34933908705882349</v>
      </c>
      <c r="D26" s="5">
        <f>HDD!B29</f>
        <v>203</v>
      </c>
    </row>
    <row r="27" spans="1:24">
      <c r="A27" s="1">
        <v>41061</v>
      </c>
      <c r="B27" s="20">
        <f>B15</f>
        <v>2.4172661870503593</v>
      </c>
      <c r="C27" s="22">
        <f>B27*H2</f>
        <v>0.22153664460431649</v>
      </c>
      <c r="D27" s="5">
        <f>HDD!B30</f>
        <v>122</v>
      </c>
    </row>
    <row r="28" spans="1:24">
      <c r="A28" s="1">
        <v>41091</v>
      </c>
      <c r="B28" s="20">
        <f>B16</f>
        <v>2.497841726618705</v>
      </c>
      <c r="C28" s="22">
        <f>B28*H2</f>
        <v>0.2289211994244604</v>
      </c>
      <c r="D28" s="5">
        <f>HDD!B31</f>
        <v>10</v>
      </c>
    </row>
    <row r="29" spans="1:24">
      <c r="A29" s="1"/>
      <c r="B29" s="5"/>
      <c r="C29" s="2">
        <f t="shared" ref="C29" si="1">B29*1.04</f>
        <v>0</v>
      </c>
      <c r="D29" s="5">
        <f>HDD!B32</f>
        <v>0</v>
      </c>
    </row>
    <row r="30" spans="1:24">
      <c r="B30" s="5"/>
      <c r="D30" s="5">
        <f>HDD!B33</f>
        <v>0</v>
      </c>
    </row>
    <row r="31" spans="1:24">
      <c r="B31" s="21"/>
    </row>
    <row r="32" spans="1:24">
      <c r="O32" s="12" t="s">
        <v>56</v>
      </c>
      <c r="U32" s="12" t="s">
        <v>58</v>
      </c>
      <c r="X32" s="12" t="s">
        <v>60</v>
      </c>
    </row>
    <row r="33" spans="1:24">
      <c r="B33" s="12" t="s">
        <v>44</v>
      </c>
      <c r="F33" s="12" t="s">
        <v>63</v>
      </c>
      <c r="J33" s="12" t="s">
        <v>64</v>
      </c>
      <c r="P33" s="12" t="s">
        <v>48</v>
      </c>
      <c r="Q33" s="12" t="s">
        <v>59</v>
      </c>
      <c r="U33" s="12" t="s">
        <v>61</v>
      </c>
      <c r="X33" s="12">
        <v>7.75</v>
      </c>
    </row>
    <row r="34" spans="1:24">
      <c r="A34" s="12" t="s">
        <v>46</v>
      </c>
      <c r="B34" s="12" t="s">
        <v>49</v>
      </c>
      <c r="C34" s="12" t="s">
        <v>32</v>
      </c>
      <c r="F34" s="12" t="s">
        <v>55</v>
      </c>
      <c r="J34" s="12" t="s">
        <v>47</v>
      </c>
      <c r="L34" s="12" t="s">
        <v>57</v>
      </c>
      <c r="O34" s="1">
        <v>40512</v>
      </c>
      <c r="P34">
        <v>1</v>
      </c>
      <c r="Q34">
        <f>P34*X33*X34</f>
        <v>310</v>
      </c>
      <c r="U34" s="12" t="s">
        <v>62</v>
      </c>
      <c r="X34">
        <v>40</v>
      </c>
    </row>
    <row r="35" spans="1:24">
      <c r="A35" s="1">
        <v>40452</v>
      </c>
      <c r="B35" s="5">
        <v>23.8</v>
      </c>
      <c r="F35" s="1">
        <v>40512</v>
      </c>
      <c r="J35" s="1" t="s">
        <v>45</v>
      </c>
      <c r="L35">
        <v>5</v>
      </c>
      <c r="O35" s="1">
        <v>40543</v>
      </c>
      <c r="P35">
        <v>4</v>
      </c>
      <c r="Q35" s="12">
        <f>P35*X33*X34</f>
        <v>1240</v>
      </c>
    </row>
    <row r="36" spans="1:24">
      <c r="A36" s="1">
        <v>40634</v>
      </c>
      <c r="B36">
        <v>37.5</v>
      </c>
      <c r="D36">
        <f>B36/(A36-A35)</f>
        <v>0.20604395604395603</v>
      </c>
      <c r="F36" s="1">
        <v>40543</v>
      </c>
      <c r="G36" s="12">
        <f>D36*(F36-F35)</f>
        <v>6.3873626373626369</v>
      </c>
      <c r="J36" s="12" t="s">
        <v>50</v>
      </c>
      <c r="L36">
        <v>45</v>
      </c>
      <c r="O36" s="1">
        <v>40574</v>
      </c>
      <c r="P36">
        <v>23</v>
      </c>
      <c r="Q36" s="12">
        <f>P36*X33*X34</f>
        <v>7130</v>
      </c>
    </row>
    <row r="37" spans="1:24">
      <c r="A37" s="1">
        <v>40773</v>
      </c>
      <c r="B37">
        <v>11.2</v>
      </c>
      <c r="D37" s="12">
        <f t="shared" ref="D37:D41" si="2">B37/(A37-A36)</f>
        <v>8.0575539568345317E-2</v>
      </c>
      <c r="F37" s="1">
        <v>40574</v>
      </c>
      <c r="G37" s="12">
        <f>D36*(F37-F36)</f>
        <v>6.3873626373626369</v>
      </c>
      <c r="J37" s="12" t="s">
        <v>51</v>
      </c>
      <c r="L37">
        <v>0</v>
      </c>
      <c r="O37" s="1">
        <v>40602</v>
      </c>
      <c r="P37">
        <v>22</v>
      </c>
      <c r="Q37" s="12">
        <f>P37*X33*X34</f>
        <v>6820</v>
      </c>
    </row>
    <row r="38" spans="1:24">
      <c r="A38" s="1">
        <v>40911</v>
      </c>
      <c r="B38">
        <v>31.2</v>
      </c>
      <c r="D38" s="12">
        <f t="shared" si="2"/>
        <v>0.22608695652173913</v>
      </c>
      <c r="F38" s="1">
        <v>40602</v>
      </c>
      <c r="G38" s="12">
        <f>D36*(F38-F37)</f>
        <v>5.7692307692307692</v>
      </c>
      <c r="J38" s="12" t="s">
        <v>53</v>
      </c>
      <c r="L38">
        <v>1</v>
      </c>
      <c r="O38" s="1">
        <v>40633</v>
      </c>
      <c r="P38">
        <v>0</v>
      </c>
      <c r="Q38" s="12">
        <f>P38*X33*X34</f>
        <v>0</v>
      </c>
    </row>
    <row r="39" spans="1:24">
      <c r="A39" s="1">
        <v>41047</v>
      </c>
      <c r="B39">
        <v>28.8</v>
      </c>
      <c r="D39" s="12">
        <f t="shared" si="2"/>
        <v>0.21176470588235294</v>
      </c>
      <c r="F39" s="1">
        <v>40633</v>
      </c>
      <c r="G39">
        <f>D36*(F39-F38)</f>
        <v>6.3873626373626369</v>
      </c>
      <c r="J39" s="12" t="s">
        <v>52</v>
      </c>
      <c r="L39">
        <v>2</v>
      </c>
      <c r="O39" s="1">
        <v>40663</v>
      </c>
      <c r="P39">
        <v>0</v>
      </c>
      <c r="Q39" s="12">
        <f>P39*X33*X34</f>
        <v>0</v>
      </c>
    </row>
    <row r="40" spans="1:24">
      <c r="A40" s="1">
        <v>41122</v>
      </c>
      <c r="D40" s="12">
        <f t="shared" si="2"/>
        <v>0</v>
      </c>
      <c r="F40" s="1">
        <v>40663</v>
      </c>
      <c r="G40" s="12">
        <f>D37*(F40-F39)</f>
        <v>2.4172661870503593</v>
      </c>
      <c r="J40" s="12" t="s">
        <v>54</v>
      </c>
      <c r="L40">
        <v>6</v>
      </c>
      <c r="O40" s="1">
        <v>40694</v>
      </c>
      <c r="P40">
        <v>0</v>
      </c>
      <c r="Q40" s="12">
        <f>P40*X33*X34</f>
        <v>0</v>
      </c>
    </row>
    <row r="41" spans="1:24">
      <c r="A41" s="1"/>
      <c r="D41" s="12">
        <f t="shared" si="2"/>
        <v>0</v>
      </c>
      <c r="F41" s="1">
        <v>40694</v>
      </c>
      <c r="G41" s="12">
        <f>D37*(F41-F40)</f>
        <v>2.497841726618705</v>
      </c>
      <c r="O41" s="1">
        <v>40724</v>
      </c>
      <c r="P41">
        <v>0</v>
      </c>
      <c r="Q41" s="12">
        <f>P41*X33*X34</f>
        <v>0</v>
      </c>
    </row>
    <row r="42" spans="1:24">
      <c r="A42" s="1"/>
      <c r="D42" s="12"/>
      <c r="F42" s="1">
        <v>40724</v>
      </c>
      <c r="G42" s="12">
        <f>D37*(F42-F41)</f>
        <v>2.4172661870503593</v>
      </c>
      <c r="L42">
        <f>SUM(L35:L40)</f>
        <v>59</v>
      </c>
      <c r="O42" s="1">
        <v>40755</v>
      </c>
      <c r="P42">
        <v>0</v>
      </c>
      <c r="Q42" s="12">
        <f>P42*X33*X34</f>
        <v>0</v>
      </c>
    </row>
    <row r="43" spans="1:24">
      <c r="A43" s="1"/>
      <c r="B43">
        <f>SUM(B36:B39)-D36*(F35-A35)</f>
        <v>96.337362637362645</v>
      </c>
      <c r="D43" s="12"/>
      <c r="F43" s="1">
        <v>40755</v>
      </c>
      <c r="G43" s="12">
        <f>D37*(F43-F42)</f>
        <v>2.497841726618705</v>
      </c>
      <c r="O43" s="1">
        <v>40786</v>
      </c>
      <c r="P43">
        <v>0</v>
      </c>
      <c r="Q43" s="12">
        <f>P43*X33*X34</f>
        <v>0</v>
      </c>
    </row>
    <row r="44" spans="1:24">
      <c r="A44" s="1"/>
      <c r="D44" s="12"/>
      <c r="F44" s="1">
        <v>40786</v>
      </c>
      <c r="G44" s="12">
        <f>D37*(A37-F43) + D38*(F44-A37)</f>
        <v>4.3894901470128245</v>
      </c>
      <c r="O44" s="1">
        <v>40816</v>
      </c>
      <c r="P44">
        <v>0.25</v>
      </c>
      <c r="Q44" s="12">
        <f>P44*X33*X34</f>
        <v>77.5</v>
      </c>
    </row>
    <row r="45" spans="1:24">
      <c r="A45" s="1"/>
      <c r="D45" s="12"/>
      <c r="F45" s="1">
        <v>40816</v>
      </c>
      <c r="G45" s="12">
        <f>D38*(F45-F44)</f>
        <v>6.7826086956521738</v>
      </c>
      <c r="O45" s="1">
        <v>40847</v>
      </c>
      <c r="P45">
        <v>0.75</v>
      </c>
      <c r="Q45" s="12">
        <f>P45*X33*X34</f>
        <v>232.5</v>
      </c>
    </row>
    <row r="46" spans="1:24">
      <c r="A46" s="1"/>
      <c r="D46" s="12"/>
      <c r="F46" s="1">
        <v>40847</v>
      </c>
      <c r="G46" s="12">
        <f>D38*(F46-F45)</f>
        <v>7.0086956521739134</v>
      </c>
      <c r="O46" s="1">
        <v>40877</v>
      </c>
      <c r="P46">
        <v>1</v>
      </c>
      <c r="Q46" s="12">
        <f>P46*X33*X34</f>
        <v>310</v>
      </c>
    </row>
    <row r="47" spans="1:24">
      <c r="A47" s="1"/>
      <c r="D47" s="12"/>
      <c r="F47" s="1">
        <v>40877</v>
      </c>
      <c r="G47" s="12">
        <f>D38*(F47-F46)</f>
        <v>6.7826086956521738</v>
      </c>
      <c r="O47" s="1">
        <v>40908</v>
      </c>
      <c r="P47">
        <v>1</v>
      </c>
      <c r="Q47" s="12">
        <f>P47*X33*X34</f>
        <v>310</v>
      </c>
    </row>
    <row r="48" spans="1:24">
      <c r="A48" s="1"/>
      <c r="D48" s="12"/>
      <c r="F48" s="1">
        <v>40908</v>
      </c>
      <c r="G48" s="12">
        <f>D38*(F48-F47)</f>
        <v>7.0086956521739134</v>
      </c>
      <c r="O48" s="1">
        <v>40939</v>
      </c>
      <c r="P48">
        <v>3</v>
      </c>
      <c r="Q48" s="12">
        <f>P48*X33*X34</f>
        <v>930</v>
      </c>
    </row>
    <row r="49" spans="1:17">
      <c r="A49" s="1"/>
      <c r="D49" s="12"/>
      <c r="F49" s="1">
        <v>40939</v>
      </c>
      <c r="G49" s="12">
        <f>D38*(A38-F48) + D39*(F49-A38)</f>
        <v>6.6076726342710996</v>
      </c>
      <c r="O49" s="1">
        <v>40968</v>
      </c>
      <c r="P49">
        <v>3</v>
      </c>
      <c r="Q49" s="12">
        <f>P49*X33*X34</f>
        <v>930</v>
      </c>
    </row>
    <row r="50" spans="1:17">
      <c r="A50" s="1"/>
      <c r="D50" s="12"/>
      <c r="F50" s="1">
        <v>40968</v>
      </c>
      <c r="G50" s="12">
        <f>D39*(F50-F49)</f>
        <v>6.1411764705882348</v>
      </c>
      <c r="O50" s="1">
        <v>40999</v>
      </c>
      <c r="P50">
        <v>0</v>
      </c>
      <c r="Q50" s="12">
        <f>P50*X33*X34</f>
        <v>0</v>
      </c>
    </row>
    <row r="51" spans="1:17">
      <c r="A51" s="1"/>
      <c r="D51" s="12"/>
      <c r="F51" s="1">
        <v>40999</v>
      </c>
      <c r="G51" s="12">
        <f>D39*(F51-F50)</f>
        <v>6.5647058823529409</v>
      </c>
      <c r="O51" s="1">
        <v>41029</v>
      </c>
      <c r="P51">
        <v>0</v>
      </c>
      <c r="Q51" s="12">
        <f>P51*X33*X34</f>
        <v>0</v>
      </c>
    </row>
    <row r="52" spans="1:17">
      <c r="A52" s="1"/>
      <c r="D52" s="12"/>
      <c r="F52" s="1">
        <v>41029</v>
      </c>
      <c r="G52" s="12">
        <f>D39*(F52-F51)</f>
        <v>6.3529411764705879</v>
      </c>
      <c r="O52" s="1">
        <v>41060</v>
      </c>
      <c r="P52">
        <v>0</v>
      </c>
      <c r="Q52" s="12">
        <f>P52*X33*X34</f>
        <v>0</v>
      </c>
    </row>
    <row r="53" spans="1:17">
      <c r="A53" s="1"/>
      <c r="D53" s="12"/>
      <c r="F53" s="1">
        <v>41060</v>
      </c>
      <c r="G53" s="12">
        <f>D39*(A39-F52) + D40*(F53-A39)</f>
        <v>3.8117647058823527</v>
      </c>
      <c r="O53" s="1">
        <v>41090</v>
      </c>
      <c r="P53">
        <v>0</v>
      </c>
      <c r="Q53" s="12">
        <f>P53*X33*X34*X34</f>
        <v>0</v>
      </c>
    </row>
    <row r="54" spans="1:17">
      <c r="A54" s="1"/>
      <c r="D54" s="12"/>
      <c r="F54" s="1">
        <v>41090</v>
      </c>
      <c r="G54" s="12">
        <f>D40*(F54-F53)</f>
        <v>0</v>
      </c>
      <c r="O54" s="1">
        <v>41121</v>
      </c>
      <c r="P54">
        <v>0</v>
      </c>
      <c r="Q54" s="12">
        <f>P54*X33*X34</f>
        <v>0</v>
      </c>
    </row>
    <row r="55" spans="1:17">
      <c r="A55" s="1"/>
      <c r="D55" s="12"/>
      <c r="F55" s="1">
        <v>41121</v>
      </c>
      <c r="G55" s="12">
        <f>D40*(F55-F54)</f>
        <v>0</v>
      </c>
    </row>
    <row r="56" spans="1:17">
      <c r="A56" s="1"/>
      <c r="D56" s="12"/>
      <c r="F56" s="1"/>
      <c r="P56">
        <f>SUM(P34:P54)</f>
        <v>59</v>
      </c>
    </row>
    <row r="57" spans="1:17">
      <c r="A57" s="1"/>
      <c r="F57" s="1"/>
      <c r="G57">
        <f>SUM(G36:G53)</f>
        <v>96.211894220887018</v>
      </c>
    </row>
    <row r="58" spans="1:17">
      <c r="A58" s="1"/>
      <c r="F58" s="1"/>
    </row>
    <row r="59" spans="1:17">
      <c r="F59" s="1"/>
    </row>
    <row r="60" spans="1:17">
      <c r="B60" s="12"/>
      <c r="F60" s="1"/>
    </row>
    <row r="61" spans="1:17">
      <c r="F61" s="1"/>
    </row>
    <row r="62" spans="1:17">
      <c r="F62" s="1"/>
    </row>
    <row r="63" spans="1:17">
      <c r="F63" s="1"/>
    </row>
    <row r="64" spans="1:17">
      <c r="F64" s="1"/>
    </row>
    <row r="65" spans="6:7">
      <c r="F65" s="1"/>
    </row>
    <row r="66" spans="6:7">
      <c r="F66" s="1"/>
      <c r="G66" s="12"/>
    </row>
    <row r="67" spans="6:7">
      <c r="F67" s="1"/>
    </row>
    <row r="68" spans="6:7">
      <c r="F68" s="1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3"/>
  <sheetViews>
    <sheetView workbookViewId="0">
      <selection activeCell="D31" sqref="D31"/>
    </sheetView>
  </sheetViews>
  <sheetFormatPr defaultRowHeight="15"/>
  <cols>
    <col min="2" max="2" width="9.85546875" customWidth="1"/>
    <col min="4" max="4" width="15.28515625" customWidth="1"/>
    <col min="5" max="5" width="11.42578125" customWidth="1"/>
    <col min="20" max="20" width="11.140625" customWidth="1"/>
    <col min="21" max="21" width="10.42578125" customWidth="1"/>
    <col min="22" max="22" width="12.85546875" customWidth="1"/>
  </cols>
  <sheetData>
    <row r="1" spans="1:22">
      <c r="B1" s="12" t="s">
        <v>42</v>
      </c>
    </row>
    <row r="4" spans="1:22">
      <c r="B4" s="69" t="s">
        <v>1</v>
      </c>
      <c r="C4" s="69"/>
      <c r="E4" t="s">
        <v>2</v>
      </c>
    </row>
    <row r="5" spans="1:22">
      <c r="B5" s="12" t="s">
        <v>35</v>
      </c>
      <c r="C5">
        <v>0</v>
      </c>
      <c r="D5" t="s">
        <v>3</v>
      </c>
      <c r="E5" t="s">
        <v>4</v>
      </c>
      <c r="F5" t="s">
        <v>0</v>
      </c>
      <c r="G5" t="s">
        <v>5</v>
      </c>
    </row>
    <row r="6" spans="1:22" s="12" customFormat="1"/>
    <row r="7" spans="1:22" s="12" customFormat="1">
      <c r="A7" s="12" t="s">
        <v>14</v>
      </c>
      <c r="T7" s="52">
        <v>40443</v>
      </c>
      <c r="U7" s="52">
        <v>40472</v>
      </c>
      <c r="V7" s="53">
        <v>529</v>
      </c>
    </row>
    <row r="8" spans="1:22" s="12" customFormat="1">
      <c r="A8" s="1">
        <v>40452</v>
      </c>
      <c r="B8" s="6">
        <v>529</v>
      </c>
      <c r="C8" s="6"/>
      <c r="D8" s="12">
        <f>B8+C8-E8</f>
        <v>529</v>
      </c>
      <c r="E8" s="6">
        <v>0</v>
      </c>
      <c r="F8" s="12">
        <f>HDD!B10</f>
        <v>465</v>
      </c>
      <c r="G8" s="12">
        <f>CDD!B10</f>
        <v>6</v>
      </c>
      <c r="T8" s="52">
        <v>40472</v>
      </c>
      <c r="U8" s="52">
        <v>40502</v>
      </c>
      <c r="V8" s="53">
        <v>658</v>
      </c>
    </row>
    <row r="9" spans="1:22" s="12" customFormat="1">
      <c r="A9" s="1">
        <v>40483</v>
      </c>
      <c r="B9" s="6">
        <v>658</v>
      </c>
      <c r="C9" s="6"/>
      <c r="D9" s="12">
        <f t="shared" ref="D9:D30" si="0">B9+C9-E9</f>
        <v>658</v>
      </c>
      <c r="E9" s="6">
        <v>0</v>
      </c>
      <c r="F9" s="12">
        <f>HDD!B11</f>
        <v>741</v>
      </c>
      <c r="G9" s="12">
        <f>CDD!B11</f>
        <v>0</v>
      </c>
      <c r="T9" s="52">
        <v>40502</v>
      </c>
      <c r="U9" s="52">
        <v>40533</v>
      </c>
      <c r="V9" s="54">
        <v>1360</v>
      </c>
    </row>
    <row r="10" spans="1:22" s="12" customFormat="1">
      <c r="A10" s="1">
        <v>40513</v>
      </c>
      <c r="B10" s="6">
        <v>1360</v>
      </c>
      <c r="C10" s="6"/>
      <c r="D10" s="12">
        <f t="shared" si="0"/>
        <v>1360</v>
      </c>
      <c r="E10" s="6">
        <v>0</v>
      </c>
      <c r="F10" s="12">
        <f>HDD!B12</f>
        <v>1185</v>
      </c>
      <c r="G10" s="12">
        <f>CDD!B12</f>
        <v>0</v>
      </c>
      <c r="T10" s="52">
        <v>40533</v>
      </c>
      <c r="U10" s="52">
        <v>40565</v>
      </c>
      <c r="V10" s="54">
        <v>1486</v>
      </c>
    </row>
    <row r="11" spans="1:22">
      <c r="A11" s="1">
        <v>40544</v>
      </c>
      <c r="B11" s="3">
        <v>1486</v>
      </c>
      <c r="C11" s="4"/>
      <c r="D11" s="12">
        <f t="shared" si="0"/>
        <v>1486</v>
      </c>
      <c r="E11" s="6">
        <v>0</v>
      </c>
      <c r="F11" s="12">
        <f>HDD!B13</f>
        <v>1326</v>
      </c>
      <c r="G11" s="12">
        <f>CDD!B13</f>
        <v>0</v>
      </c>
      <c r="T11" s="52">
        <v>40565</v>
      </c>
      <c r="U11" s="52">
        <v>40593</v>
      </c>
      <c r="V11" s="54">
        <v>1049</v>
      </c>
    </row>
    <row r="12" spans="1:22">
      <c r="A12" s="1">
        <v>40575</v>
      </c>
      <c r="B12" s="3">
        <v>1049</v>
      </c>
      <c r="C12" s="4"/>
      <c r="D12" s="12">
        <f t="shared" si="0"/>
        <v>1049</v>
      </c>
      <c r="E12" s="6">
        <v>0</v>
      </c>
      <c r="F12" s="12">
        <f>HDD!B14</f>
        <v>1103</v>
      </c>
      <c r="G12" s="12">
        <f>CDD!B14</f>
        <v>0</v>
      </c>
      <c r="T12" s="52">
        <v>40593</v>
      </c>
      <c r="U12" s="52">
        <v>40625</v>
      </c>
      <c r="V12" s="53">
        <v>870</v>
      </c>
    </row>
    <row r="13" spans="1:22">
      <c r="A13" s="1">
        <v>40603</v>
      </c>
      <c r="B13" s="3">
        <v>870</v>
      </c>
      <c r="C13" s="4"/>
      <c r="D13" s="12">
        <f t="shared" si="0"/>
        <v>870</v>
      </c>
      <c r="E13" s="6">
        <v>0</v>
      </c>
      <c r="F13" s="12">
        <f>HDD!B15</f>
        <v>960</v>
      </c>
      <c r="G13" s="12">
        <f>CDD!B15</f>
        <v>0</v>
      </c>
      <c r="T13" s="52">
        <v>40625</v>
      </c>
      <c r="U13" s="52">
        <v>40652</v>
      </c>
      <c r="V13" s="53">
        <v>938</v>
      </c>
    </row>
    <row r="14" spans="1:22">
      <c r="A14" s="1">
        <v>40634</v>
      </c>
      <c r="B14" s="3">
        <v>938</v>
      </c>
      <c r="C14" s="4"/>
      <c r="D14" s="12">
        <f t="shared" si="0"/>
        <v>938</v>
      </c>
      <c r="E14" s="6">
        <v>0</v>
      </c>
      <c r="F14" s="12">
        <f>HDD!B16</f>
        <v>542</v>
      </c>
      <c r="G14" s="12">
        <f>CDD!B16</f>
        <v>6</v>
      </c>
      <c r="T14" s="52">
        <v>40652</v>
      </c>
      <c r="U14" s="52">
        <v>40683</v>
      </c>
      <c r="V14" s="53">
        <v>579</v>
      </c>
    </row>
    <row r="15" spans="1:22">
      <c r="A15" s="1">
        <v>40664</v>
      </c>
      <c r="B15" s="3">
        <v>579</v>
      </c>
      <c r="C15" s="4"/>
      <c r="D15" s="12">
        <f t="shared" si="0"/>
        <v>579</v>
      </c>
      <c r="E15" s="6">
        <v>0</v>
      </c>
      <c r="F15" s="12">
        <f>HDD!B17</f>
        <v>284</v>
      </c>
      <c r="G15" s="12">
        <f>CDD!B17</f>
        <v>51</v>
      </c>
      <c r="T15" s="52">
        <v>40683</v>
      </c>
      <c r="U15" s="52">
        <v>40714</v>
      </c>
      <c r="V15" s="53">
        <v>571</v>
      </c>
    </row>
    <row r="16" spans="1:22">
      <c r="A16" s="1">
        <v>40695</v>
      </c>
      <c r="B16" s="3">
        <v>571</v>
      </c>
      <c r="C16" s="4"/>
      <c r="D16" s="12">
        <f t="shared" si="0"/>
        <v>571</v>
      </c>
      <c r="E16" s="6">
        <v>0</v>
      </c>
      <c r="F16" s="12">
        <f>HDD!B18</f>
        <v>113</v>
      </c>
      <c r="G16" s="12">
        <f>CDD!B18</f>
        <v>97</v>
      </c>
      <c r="T16" s="52">
        <v>40714</v>
      </c>
      <c r="U16" s="52">
        <v>40745</v>
      </c>
      <c r="V16" s="53">
        <v>430</v>
      </c>
    </row>
    <row r="17" spans="1:22">
      <c r="A17" s="1">
        <v>40725</v>
      </c>
      <c r="B17" s="16">
        <v>430</v>
      </c>
      <c r="C17" s="16"/>
      <c r="D17" s="12">
        <f t="shared" si="0"/>
        <v>430</v>
      </c>
      <c r="E17" s="16">
        <v>0</v>
      </c>
      <c r="F17" s="12">
        <f>HDD!B19</f>
        <v>11</v>
      </c>
      <c r="G17" s="12">
        <f>CDD!B19</f>
        <v>260</v>
      </c>
      <c r="T17" s="52">
        <v>40745</v>
      </c>
      <c r="U17" s="52">
        <v>40777</v>
      </c>
      <c r="V17" s="53">
        <v>777</v>
      </c>
    </row>
    <row r="18" spans="1:22">
      <c r="A18" s="1">
        <v>40756</v>
      </c>
      <c r="B18" s="16">
        <v>777</v>
      </c>
      <c r="C18" s="16"/>
      <c r="D18" s="12">
        <f t="shared" si="0"/>
        <v>777</v>
      </c>
      <c r="E18" s="16">
        <v>0</v>
      </c>
      <c r="F18" s="12">
        <f>HDD!B20</f>
        <v>28</v>
      </c>
      <c r="G18" s="12">
        <f>CDD!B20</f>
        <v>152</v>
      </c>
      <c r="T18" s="52">
        <v>40777</v>
      </c>
      <c r="U18" s="52">
        <v>40806</v>
      </c>
      <c r="V18" s="53">
        <v>559</v>
      </c>
    </row>
    <row r="19" spans="1:22">
      <c r="A19" s="1">
        <v>40787</v>
      </c>
      <c r="B19" s="16">
        <v>559</v>
      </c>
      <c r="C19" s="16"/>
      <c r="D19" s="12">
        <f t="shared" si="0"/>
        <v>559</v>
      </c>
      <c r="E19" s="16">
        <v>0</v>
      </c>
      <c r="F19" s="12">
        <f>HDD!B21</f>
        <v>114</v>
      </c>
      <c r="G19" s="12">
        <f>CDD!B21</f>
        <v>81</v>
      </c>
      <c r="T19" s="52">
        <v>40806</v>
      </c>
      <c r="U19" s="52">
        <v>40836</v>
      </c>
      <c r="V19" s="53">
        <v>607</v>
      </c>
    </row>
    <row r="20" spans="1:22">
      <c r="A20" s="1">
        <v>40817</v>
      </c>
      <c r="B20" s="16">
        <v>607</v>
      </c>
      <c r="C20" s="16"/>
      <c r="D20" s="12">
        <f t="shared" si="0"/>
        <v>607</v>
      </c>
      <c r="E20" s="16">
        <v>0</v>
      </c>
      <c r="F20" s="12">
        <f>HDD!B22</f>
        <v>438</v>
      </c>
      <c r="G20" s="12">
        <f>CDD!B22</f>
        <v>13</v>
      </c>
      <c r="T20" s="52">
        <v>40836</v>
      </c>
      <c r="U20" s="52">
        <v>40865</v>
      </c>
      <c r="V20" s="53">
        <v>670</v>
      </c>
    </row>
    <row r="21" spans="1:22">
      <c r="A21" s="1">
        <v>40848</v>
      </c>
      <c r="B21" s="16">
        <v>670</v>
      </c>
      <c r="C21" s="16"/>
      <c r="D21" s="12">
        <f t="shared" si="0"/>
        <v>670</v>
      </c>
      <c r="E21" s="16">
        <v>0</v>
      </c>
      <c r="F21" s="12">
        <f>HDD!B23</f>
        <v>556</v>
      </c>
      <c r="G21" s="12">
        <f>CDD!B23</f>
        <v>0</v>
      </c>
      <c r="T21" s="52">
        <v>40865</v>
      </c>
      <c r="U21" s="52">
        <v>40896</v>
      </c>
      <c r="V21" s="54">
        <v>1158</v>
      </c>
    </row>
    <row r="22" spans="1:22">
      <c r="A22" s="1">
        <v>40878</v>
      </c>
      <c r="B22" s="16">
        <v>1158</v>
      </c>
      <c r="C22" s="16"/>
      <c r="D22" s="12">
        <f t="shared" si="0"/>
        <v>1158</v>
      </c>
      <c r="E22" s="16">
        <v>0</v>
      </c>
      <c r="F22" s="12">
        <f>HDD!B24</f>
        <v>897</v>
      </c>
      <c r="G22" s="12">
        <f>CDD!B24</f>
        <v>0</v>
      </c>
      <c r="T22" s="52">
        <v>40896</v>
      </c>
      <c r="U22" s="52">
        <v>40928</v>
      </c>
      <c r="V22" s="54">
        <v>1615</v>
      </c>
    </row>
    <row r="23" spans="1:22">
      <c r="A23" s="1">
        <v>40909</v>
      </c>
      <c r="B23" s="16">
        <v>1615</v>
      </c>
      <c r="C23" s="16"/>
      <c r="D23" s="12">
        <f t="shared" si="0"/>
        <v>1615</v>
      </c>
      <c r="E23" s="16">
        <v>0</v>
      </c>
      <c r="F23" s="12">
        <f>HDD!B25</f>
        <v>1116</v>
      </c>
      <c r="G23" s="12">
        <f>CDD!B25</f>
        <v>0</v>
      </c>
      <c r="T23" s="52">
        <v>40928</v>
      </c>
      <c r="U23" s="52">
        <v>40960</v>
      </c>
      <c r="V23" s="54">
        <v>1641</v>
      </c>
    </row>
    <row r="24" spans="1:22">
      <c r="A24" s="1">
        <v>40940</v>
      </c>
      <c r="B24" s="16">
        <v>1641</v>
      </c>
      <c r="C24" s="16"/>
      <c r="D24" s="12">
        <f t="shared" si="0"/>
        <v>1641</v>
      </c>
      <c r="E24" s="16">
        <v>0</v>
      </c>
      <c r="F24" s="12">
        <f>HDD!B26</f>
        <v>926</v>
      </c>
      <c r="G24" s="12">
        <f>CDD!B26</f>
        <v>0</v>
      </c>
      <c r="T24" s="52">
        <v>40960</v>
      </c>
      <c r="U24" s="52">
        <v>40988</v>
      </c>
      <c r="V24" s="53">
        <v>983</v>
      </c>
    </row>
    <row r="25" spans="1:22">
      <c r="A25" s="1">
        <v>40969</v>
      </c>
      <c r="B25" s="16">
        <v>983</v>
      </c>
      <c r="C25" s="16"/>
      <c r="D25" s="12">
        <f t="shared" si="0"/>
        <v>983</v>
      </c>
      <c r="E25" s="16">
        <v>0</v>
      </c>
      <c r="F25" s="12">
        <f>HDD!B27</f>
        <v>675</v>
      </c>
      <c r="G25" s="12">
        <f>CDD!B27</f>
        <v>15</v>
      </c>
      <c r="T25" s="52">
        <v>40988</v>
      </c>
      <c r="U25" s="52">
        <v>41019</v>
      </c>
      <c r="V25" s="53">
        <v>502</v>
      </c>
    </row>
    <row r="26" spans="1:22">
      <c r="A26" s="1">
        <v>41000</v>
      </c>
      <c r="B26" s="16">
        <v>502</v>
      </c>
      <c r="C26" s="16"/>
      <c r="D26" s="12">
        <f t="shared" si="0"/>
        <v>502</v>
      </c>
      <c r="E26" s="16">
        <v>0</v>
      </c>
      <c r="F26" s="12">
        <f>HDD!B28</f>
        <v>499</v>
      </c>
      <c r="G26" s="12">
        <f>CDD!B28</f>
        <v>18</v>
      </c>
      <c r="T26" s="52">
        <v>41019</v>
      </c>
      <c r="U26" s="52">
        <v>41051</v>
      </c>
      <c r="V26" s="53">
        <v>585</v>
      </c>
    </row>
    <row r="27" spans="1:22">
      <c r="A27" s="1">
        <v>41030</v>
      </c>
      <c r="B27" s="16">
        <v>585</v>
      </c>
      <c r="C27" s="16"/>
      <c r="D27" s="12">
        <f t="shared" si="0"/>
        <v>585</v>
      </c>
      <c r="E27" s="16">
        <v>0</v>
      </c>
      <c r="F27" s="12">
        <f>HDD!B29</f>
        <v>203</v>
      </c>
      <c r="G27" s="12">
        <f>CDD!B29</f>
        <v>60</v>
      </c>
      <c r="T27" s="52">
        <v>41051</v>
      </c>
      <c r="U27" s="52">
        <v>41081</v>
      </c>
      <c r="V27" s="53">
        <v>633</v>
      </c>
    </row>
    <row r="28" spans="1:22">
      <c r="A28" s="1">
        <v>41061</v>
      </c>
      <c r="B28" s="16">
        <v>633</v>
      </c>
      <c r="C28" s="16"/>
      <c r="D28" s="12">
        <f t="shared" si="0"/>
        <v>633</v>
      </c>
      <c r="E28" s="18">
        <v>0</v>
      </c>
      <c r="F28" s="12">
        <f>HDD!B30</f>
        <v>122</v>
      </c>
      <c r="G28" s="12">
        <f>CDD!B30</f>
        <v>107</v>
      </c>
      <c r="T28" s="52">
        <v>41081</v>
      </c>
      <c r="U28" s="52">
        <v>41113</v>
      </c>
      <c r="V28" s="53">
        <v>867</v>
      </c>
    </row>
    <row r="29" spans="1:22">
      <c r="A29" s="1">
        <v>41091</v>
      </c>
      <c r="B29" s="17">
        <v>867</v>
      </c>
      <c r="C29" s="17"/>
      <c r="D29" s="12">
        <f t="shared" si="0"/>
        <v>867</v>
      </c>
      <c r="E29" s="17">
        <v>0</v>
      </c>
      <c r="F29" s="12">
        <f>HDD!B31</f>
        <v>10</v>
      </c>
      <c r="G29" s="12">
        <f>CDD!B31</f>
        <v>254</v>
      </c>
      <c r="T29" s="52">
        <v>41113</v>
      </c>
      <c r="U29" s="52">
        <v>41143</v>
      </c>
      <c r="V29" s="53">
        <v>827</v>
      </c>
    </row>
    <row r="30" spans="1:22">
      <c r="A30" s="1">
        <v>41122</v>
      </c>
      <c r="B30" s="15">
        <v>827</v>
      </c>
      <c r="C30" s="15"/>
      <c r="D30" s="12">
        <f t="shared" si="0"/>
        <v>827</v>
      </c>
      <c r="E30" s="15"/>
      <c r="G30" s="12">
        <f>CDD!B32</f>
        <v>0</v>
      </c>
    </row>
    <row r="52" spans="2:18">
      <c r="R52" s="21"/>
    </row>
    <row r="58" spans="2:18">
      <c r="B58" s="34"/>
      <c r="C58" s="27"/>
      <c r="D58" s="27"/>
      <c r="E58" s="27"/>
      <c r="F58" s="27"/>
      <c r="G58" s="27"/>
      <c r="H58" s="27"/>
      <c r="I58" s="27"/>
      <c r="J58" s="27"/>
      <c r="K58" s="27"/>
    </row>
    <row r="59" spans="2:18">
      <c r="B59" s="34"/>
      <c r="C59" s="27"/>
      <c r="D59" s="27"/>
      <c r="E59" s="27"/>
      <c r="F59" s="27"/>
      <c r="G59" s="27"/>
      <c r="H59" s="27"/>
      <c r="I59" s="27"/>
      <c r="J59" s="27"/>
      <c r="K59" s="27"/>
    </row>
    <row r="60" spans="2:18">
      <c r="B60" s="34"/>
      <c r="C60" s="27"/>
      <c r="D60" s="27"/>
      <c r="E60" s="27"/>
      <c r="F60" s="27"/>
      <c r="G60" s="27"/>
      <c r="H60" s="27"/>
      <c r="I60" s="27"/>
      <c r="J60" s="27"/>
      <c r="K60" s="27"/>
    </row>
    <row r="61" spans="2:18">
      <c r="B61" s="34"/>
      <c r="C61" s="27"/>
      <c r="D61" s="27"/>
      <c r="E61" s="27"/>
      <c r="F61" s="27"/>
      <c r="G61" s="27"/>
      <c r="H61" s="27"/>
      <c r="I61" s="27"/>
      <c r="J61" s="27"/>
      <c r="K61" s="27"/>
    </row>
    <row r="62" spans="2:18">
      <c r="B62" s="34"/>
      <c r="C62" s="27"/>
      <c r="D62" s="27"/>
      <c r="E62" s="27"/>
      <c r="F62" s="27"/>
      <c r="G62" s="27"/>
      <c r="H62" s="27"/>
      <c r="I62" s="27"/>
      <c r="J62" s="27"/>
      <c r="K62" s="27"/>
    </row>
    <row r="63" spans="2:18">
      <c r="B63" s="34"/>
      <c r="C63" s="27"/>
      <c r="D63" s="27"/>
      <c r="E63" s="27"/>
      <c r="F63" s="27"/>
      <c r="G63" s="27"/>
      <c r="H63" s="27"/>
      <c r="I63" s="27"/>
      <c r="J63" s="27"/>
      <c r="K63" s="27"/>
    </row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49"/>
  <sheetViews>
    <sheetView tabSelected="1" topLeftCell="I8" workbookViewId="0">
      <selection activeCell="AC13" sqref="AC13"/>
    </sheetView>
  </sheetViews>
  <sheetFormatPr defaultRowHeight="15"/>
  <cols>
    <col min="8" max="16" width="9.140625" style="12"/>
    <col min="23" max="23" width="9.140625" style="12"/>
    <col min="30" max="30" width="9.140625" style="12"/>
  </cols>
  <sheetData>
    <row r="1" spans="2:32">
      <c r="C1" s="12" t="s">
        <v>25</v>
      </c>
      <c r="E1" s="21">
        <f>1/E3</f>
        <v>292.99736302373282</v>
      </c>
    </row>
    <row r="2" spans="2:32">
      <c r="C2" s="12" t="s">
        <v>22</v>
      </c>
      <c r="E2" s="19">
        <f>100000/1000000</f>
        <v>0.1</v>
      </c>
    </row>
    <row r="3" spans="2:32">
      <c r="C3" s="12" t="s">
        <v>21</v>
      </c>
      <c r="E3">
        <f>3413/1000000</f>
        <v>3.4129999999999998E-3</v>
      </c>
    </row>
    <row r="4" spans="2:32" s="12" customFormat="1">
      <c r="C4" s="12" t="s">
        <v>85</v>
      </c>
      <c r="E4" s="12">
        <f>91.6476/1000</f>
        <v>9.1647599999999996E-2</v>
      </c>
    </row>
    <row r="5" spans="2:32" s="12" customFormat="1">
      <c r="B5" s="12" t="s">
        <v>87</v>
      </c>
      <c r="E5" s="12">
        <f>7.75*40/1000</f>
        <v>0.31</v>
      </c>
    </row>
    <row r="6" spans="2:32">
      <c r="B6" s="12" t="s">
        <v>24</v>
      </c>
      <c r="E6">
        <v>3.34</v>
      </c>
    </row>
    <row r="7" spans="2:32">
      <c r="B7" s="12" t="s">
        <v>23</v>
      </c>
      <c r="E7">
        <v>1.0469999999999999</v>
      </c>
    </row>
    <row r="8" spans="2:32">
      <c r="B8" s="12" t="s">
        <v>36</v>
      </c>
      <c r="E8">
        <v>1.01</v>
      </c>
      <c r="AB8" s="12" t="s">
        <v>28</v>
      </c>
      <c r="AE8" s="12" t="s">
        <v>31</v>
      </c>
    </row>
    <row r="9" spans="2:32" s="12" customFormat="1">
      <c r="B9" s="12" t="s">
        <v>88</v>
      </c>
      <c r="E9" s="12">
        <v>1</v>
      </c>
    </row>
    <row r="10" spans="2:32">
      <c r="C10" s="12" t="s">
        <v>91</v>
      </c>
      <c r="J10" s="12" t="s">
        <v>92</v>
      </c>
      <c r="Q10" s="12"/>
      <c r="R10" s="12" t="s">
        <v>26</v>
      </c>
      <c r="S10" s="12"/>
      <c r="T10" s="12"/>
      <c r="U10" s="12" t="s">
        <v>27</v>
      </c>
      <c r="W10" s="12" t="s">
        <v>18</v>
      </c>
      <c r="X10" s="12" t="s">
        <v>19</v>
      </c>
    </row>
    <row r="11" spans="2:32">
      <c r="B11" s="12"/>
      <c r="C11" s="12" t="s">
        <v>33</v>
      </c>
      <c r="D11" s="12" t="s">
        <v>18</v>
      </c>
      <c r="E11" s="12" t="s">
        <v>19</v>
      </c>
      <c r="G11" s="12" t="s">
        <v>17</v>
      </c>
      <c r="H11" s="12" t="s">
        <v>20</v>
      </c>
      <c r="J11" s="12" t="s">
        <v>89</v>
      </c>
      <c r="K11" s="12" t="s">
        <v>18</v>
      </c>
      <c r="L11" s="12" t="s">
        <v>19</v>
      </c>
      <c r="N11" s="12" t="s">
        <v>90</v>
      </c>
      <c r="O11" s="12" t="s">
        <v>20</v>
      </c>
      <c r="Q11" s="12"/>
      <c r="R11" s="12" t="s">
        <v>3</v>
      </c>
      <c r="S11" s="12" t="s">
        <v>4</v>
      </c>
      <c r="Y11" s="12" t="s">
        <v>0</v>
      </c>
      <c r="Z11" s="12" t="s">
        <v>5</v>
      </c>
      <c r="AB11" s="12" t="s">
        <v>29</v>
      </c>
      <c r="AC11" s="12" t="s">
        <v>30</v>
      </c>
      <c r="AE11" s="12" t="s">
        <v>29</v>
      </c>
      <c r="AF11" s="12" t="s">
        <v>30</v>
      </c>
    </row>
    <row r="12" spans="2:32">
      <c r="B12" s="12" t="s">
        <v>14</v>
      </c>
      <c r="Q12" s="1"/>
      <c r="R12" s="12"/>
      <c r="S12" s="12"/>
      <c r="Y12" s="12"/>
      <c r="Z12" s="12"/>
    </row>
    <row r="13" spans="2:32" s="12" customFormat="1">
      <c r="B13" s="1">
        <v>40462</v>
      </c>
      <c r="C13" s="22">
        <f>Propane!B7</f>
        <v>0</v>
      </c>
      <c r="D13" s="22">
        <f>C13*E$4</f>
        <v>0</v>
      </c>
      <c r="E13" s="21">
        <f>D13*E$8</f>
        <v>0</v>
      </c>
      <c r="G13" s="21">
        <f t="shared" ref="G13:G15" si="0">D13*E$1</f>
        <v>0</v>
      </c>
      <c r="H13" s="21">
        <f t="shared" ref="H13:H15" si="1">E13*E$1</f>
        <v>0</v>
      </c>
      <c r="I13" s="21"/>
      <c r="J13" s="21"/>
      <c r="K13" s="21"/>
      <c r="L13" s="21"/>
      <c r="M13" s="21"/>
      <c r="N13" s="21"/>
      <c r="O13" s="21"/>
      <c r="P13" s="21"/>
      <c r="Q13" s="1">
        <v>40462</v>
      </c>
      <c r="R13" s="7">
        <f>Elec!D8</f>
        <v>529</v>
      </c>
      <c r="S13" s="6">
        <f>-(Elec!E8)</f>
        <v>0</v>
      </c>
      <c r="U13" s="12">
        <f>R13*E$6</f>
        <v>1766.86</v>
      </c>
      <c r="W13" s="21">
        <f>R13*E$3</f>
        <v>1.805477</v>
      </c>
      <c r="X13" s="21">
        <f>U13*E$3</f>
        <v>6.0302931799999993</v>
      </c>
      <c r="Y13" s="12">
        <f>HDD!B10</f>
        <v>465</v>
      </c>
      <c r="Z13" s="12">
        <f>CDD!B10</f>
        <v>6</v>
      </c>
      <c r="AB13" s="21">
        <f>G13+R13+N13</f>
        <v>529</v>
      </c>
      <c r="AC13" s="21">
        <f>H13+U13+O13</f>
        <v>1766.86</v>
      </c>
      <c r="AD13" s="21"/>
      <c r="AE13" s="21">
        <f>D13+W13+K13</f>
        <v>1.805477</v>
      </c>
      <c r="AF13" s="21">
        <f>E13+X13+L13</f>
        <v>6.0302931799999993</v>
      </c>
    </row>
    <row r="14" spans="2:32" s="12" customFormat="1">
      <c r="B14" s="1">
        <v>40493</v>
      </c>
      <c r="C14" s="22">
        <f>Propane!B8</f>
        <v>0</v>
      </c>
      <c r="D14" s="22">
        <f t="shared" ref="D14:D40" si="2">C14*E$4</f>
        <v>0</v>
      </c>
      <c r="E14" s="21">
        <f t="shared" ref="E14:E36" si="3">D14*E$8</f>
        <v>0</v>
      </c>
      <c r="G14" s="21">
        <f t="shared" si="0"/>
        <v>0</v>
      </c>
      <c r="H14" s="21">
        <f t="shared" si="1"/>
        <v>0</v>
      </c>
      <c r="I14" s="21"/>
      <c r="J14" s="21">
        <f>Propane!P34</f>
        <v>1</v>
      </c>
      <c r="K14" s="21">
        <f>J14*E$5</f>
        <v>0.31</v>
      </c>
      <c r="L14" s="21">
        <f>K14*E$9</f>
        <v>0.31</v>
      </c>
      <c r="M14" s="21"/>
      <c r="N14" s="21">
        <f>K14*E$1</f>
        <v>90.82918253735717</v>
      </c>
      <c r="O14" s="21">
        <f>L14*E$1</f>
        <v>90.82918253735717</v>
      </c>
      <c r="P14" s="21"/>
      <c r="Q14" s="1">
        <v>40493</v>
      </c>
      <c r="R14" s="7">
        <f>Elec!D9</f>
        <v>658</v>
      </c>
      <c r="S14" s="6">
        <f>-(Elec!E9)</f>
        <v>0</v>
      </c>
      <c r="U14" s="12">
        <f>R14*E$6</f>
        <v>2197.7199999999998</v>
      </c>
      <c r="W14" s="21">
        <f>R14*E$3</f>
        <v>2.2457539999999998</v>
      </c>
      <c r="X14" s="21">
        <f>U14*E$3</f>
        <v>7.5008183599999985</v>
      </c>
      <c r="Y14" s="12">
        <f>HDD!B11</f>
        <v>741</v>
      </c>
      <c r="Z14" s="12">
        <f>CDD!B11</f>
        <v>0</v>
      </c>
      <c r="AB14" s="21">
        <f>G14+R14+N14</f>
        <v>748.82918253735716</v>
      </c>
      <c r="AC14" s="21">
        <f>H14+U14+O14</f>
        <v>2288.549182537357</v>
      </c>
      <c r="AD14" s="21"/>
      <c r="AE14" s="21">
        <f>D14+W14+K14</f>
        <v>2.5557539999999999</v>
      </c>
      <c r="AF14" s="21">
        <f>E14+X14+L14</f>
        <v>7.8108183599999981</v>
      </c>
    </row>
    <row r="15" spans="2:32" s="12" customFormat="1">
      <c r="B15" s="1">
        <v>40523</v>
      </c>
      <c r="C15" s="22">
        <f>Propane!B9</f>
        <v>6.3873626373626369</v>
      </c>
      <c r="D15" s="22">
        <f t="shared" si="2"/>
        <v>0.585386456043956</v>
      </c>
      <c r="E15" s="21">
        <f t="shared" si="3"/>
        <v>0.59124032060439558</v>
      </c>
      <c r="G15" s="21">
        <f t="shared" si="0"/>
        <v>171.5166879706874</v>
      </c>
      <c r="H15" s="21">
        <f t="shared" si="1"/>
        <v>173.23185485039426</v>
      </c>
      <c r="I15" s="21"/>
      <c r="J15" s="21">
        <f>Propane!P35</f>
        <v>4</v>
      </c>
      <c r="K15" s="21">
        <f t="shared" ref="K15:K34" si="4">J15*E$5</f>
        <v>1.24</v>
      </c>
      <c r="L15" s="21">
        <f t="shared" ref="L15:L35" si="5">K15*E$9</f>
        <v>1.24</v>
      </c>
      <c r="M15" s="21"/>
      <c r="N15" s="21">
        <f t="shared" ref="N15:N34" si="6">K15*E$1</f>
        <v>363.31673014942868</v>
      </c>
      <c r="O15" s="21">
        <f t="shared" ref="O15:O34" si="7">L15*E$1</f>
        <v>363.31673014942868</v>
      </c>
      <c r="P15" s="21"/>
      <c r="Q15" s="1">
        <v>40523</v>
      </c>
      <c r="R15" s="7">
        <f>Elec!D10</f>
        <v>1360</v>
      </c>
      <c r="S15" s="6">
        <f>-(Elec!E10)</f>
        <v>0</v>
      </c>
      <c r="U15" s="12">
        <f>R15*E$6</f>
        <v>4542.3999999999996</v>
      </c>
      <c r="W15" s="21">
        <f>R15*E$3</f>
        <v>4.64168</v>
      </c>
      <c r="X15" s="21">
        <f>U15*E$3</f>
        <v>15.503211199999997</v>
      </c>
      <c r="Y15" s="12">
        <f>HDD!B12</f>
        <v>1185</v>
      </c>
      <c r="Z15" s="12">
        <f>CDD!B12</f>
        <v>0</v>
      </c>
      <c r="AB15" s="47">
        <f>G15+R15+N15</f>
        <v>1894.833418120116</v>
      </c>
      <c r="AC15" s="48">
        <f>H15+U15+O15</f>
        <v>5078.9485849998227</v>
      </c>
      <c r="AD15" s="48"/>
      <c r="AE15" s="48">
        <f>D15+W15+K15</f>
        <v>6.4670664560439564</v>
      </c>
      <c r="AF15" s="49">
        <f>E15+X15+L15</f>
        <v>17.334451520604393</v>
      </c>
    </row>
    <row r="16" spans="2:32">
      <c r="B16" s="1">
        <v>40544</v>
      </c>
      <c r="C16" s="22">
        <f>Propane!B10</f>
        <v>6.3873626373626369</v>
      </c>
      <c r="D16" s="22">
        <f t="shared" si="2"/>
        <v>0.585386456043956</v>
      </c>
      <c r="E16" s="21">
        <f t="shared" si="3"/>
        <v>0.59124032060439558</v>
      </c>
      <c r="G16" s="21">
        <f t="shared" ref="G16:G34" si="8">D16*E$1</f>
        <v>171.5166879706874</v>
      </c>
      <c r="H16" s="21">
        <f t="shared" ref="H16:H34" si="9">E16*E$1</f>
        <v>173.23185485039426</v>
      </c>
      <c r="I16" s="21"/>
      <c r="J16" s="21">
        <f>Propane!P36</f>
        <v>23</v>
      </c>
      <c r="K16" s="21">
        <f t="shared" si="4"/>
        <v>7.13</v>
      </c>
      <c r="L16" s="21">
        <f t="shared" si="5"/>
        <v>7.13</v>
      </c>
      <c r="M16" s="21"/>
      <c r="N16" s="21">
        <f t="shared" si="6"/>
        <v>2089.071198359215</v>
      </c>
      <c r="O16" s="21">
        <f t="shared" si="7"/>
        <v>2089.071198359215</v>
      </c>
      <c r="P16" s="21"/>
      <c r="Q16" s="1">
        <v>40544</v>
      </c>
      <c r="R16" s="7">
        <f>Elec!D11</f>
        <v>1486</v>
      </c>
      <c r="S16" s="6">
        <f>-(Elec!E11)</f>
        <v>0</v>
      </c>
      <c r="U16" s="12">
        <f>R16*E$6</f>
        <v>4963.24</v>
      </c>
      <c r="W16" s="21">
        <f>R16*E$3</f>
        <v>5.0717179999999997</v>
      </c>
      <c r="X16" s="21">
        <f>U16*E$3</f>
        <v>16.939538119999998</v>
      </c>
      <c r="Y16" s="12">
        <f>HDD!B13</f>
        <v>1326</v>
      </c>
      <c r="Z16" s="12">
        <f>CDD!B13</f>
        <v>0</v>
      </c>
      <c r="AB16" s="50">
        <f>G16+R16+N16</f>
        <v>3746.5878863299022</v>
      </c>
      <c r="AC16" s="40">
        <f>H16+U16+O16</f>
        <v>7225.5430532096088</v>
      </c>
      <c r="AD16" s="40"/>
      <c r="AE16" s="40">
        <f>D16+W16+K16</f>
        <v>12.787104456043956</v>
      </c>
      <c r="AF16" s="43">
        <f>E16+X16+L16</f>
        <v>24.660778440604393</v>
      </c>
    </row>
    <row r="17" spans="2:32">
      <c r="B17" s="1">
        <v>40575</v>
      </c>
      <c r="C17" s="22">
        <f>Propane!B11</f>
        <v>5.7692307692307692</v>
      </c>
      <c r="D17" s="22">
        <f t="shared" si="2"/>
        <v>0.5287361538461538</v>
      </c>
      <c r="E17" s="21">
        <f t="shared" si="3"/>
        <v>0.53402351538461534</v>
      </c>
      <c r="G17" s="21">
        <f t="shared" si="8"/>
        <v>154.91829881223376</v>
      </c>
      <c r="H17" s="21">
        <f t="shared" si="9"/>
        <v>156.4674818003561</v>
      </c>
      <c r="I17" s="21"/>
      <c r="J17" s="21">
        <f>Propane!P37</f>
        <v>22</v>
      </c>
      <c r="K17" s="21">
        <f t="shared" si="4"/>
        <v>6.82</v>
      </c>
      <c r="L17" s="21">
        <f t="shared" si="5"/>
        <v>6.82</v>
      </c>
      <c r="M17" s="21"/>
      <c r="N17" s="21">
        <f t="shared" si="6"/>
        <v>1998.2420158218579</v>
      </c>
      <c r="O17" s="21">
        <f t="shared" si="7"/>
        <v>1998.2420158218579</v>
      </c>
      <c r="P17" s="21"/>
      <c r="Q17" s="1">
        <v>40575</v>
      </c>
      <c r="R17" s="7">
        <f>Elec!D12</f>
        <v>1049</v>
      </c>
      <c r="S17" s="6">
        <f>-(Elec!E12)</f>
        <v>0</v>
      </c>
      <c r="U17" s="12">
        <f>R17*E$6</f>
        <v>3503.66</v>
      </c>
      <c r="W17" s="21">
        <f>R17*E$3</f>
        <v>3.5802369999999999</v>
      </c>
      <c r="X17" s="21">
        <f>U17*E$3</f>
        <v>11.957991579999998</v>
      </c>
      <c r="Y17" s="12">
        <f>HDD!B14</f>
        <v>1103</v>
      </c>
      <c r="Z17" s="12">
        <f>CDD!B14</f>
        <v>0</v>
      </c>
      <c r="AB17" s="50">
        <f>G17+R17+N17</f>
        <v>3202.1603146340917</v>
      </c>
      <c r="AC17" s="40">
        <f>H17+U17+O17</f>
        <v>5658.3694976222141</v>
      </c>
      <c r="AD17" s="40"/>
      <c r="AE17" s="40">
        <f>D17+W17+K17</f>
        <v>10.928973153846155</v>
      </c>
      <c r="AF17" s="43">
        <f>E17+X17+L17</f>
        <v>19.312015095384613</v>
      </c>
    </row>
    <row r="18" spans="2:32">
      <c r="B18" s="1">
        <v>40603</v>
      </c>
      <c r="C18" s="22">
        <f>Propane!B12</f>
        <v>6.3873626373626369</v>
      </c>
      <c r="D18" s="22">
        <f t="shared" si="2"/>
        <v>0.585386456043956</v>
      </c>
      <c r="E18" s="21">
        <f t="shared" si="3"/>
        <v>0.59124032060439558</v>
      </c>
      <c r="G18" s="21">
        <f t="shared" si="8"/>
        <v>171.5166879706874</v>
      </c>
      <c r="H18" s="21">
        <f t="shared" si="9"/>
        <v>173.23185485039426</v>
      </c>
      <c r="I18" s="21"/>
      <c r="J18" s="21">
        <f>Propane!P38</f>
        <v>0</v>
      </c>
      <c r="K18" s="21">
        <f t="shared" si="4"/>
        <v>0</v>
      </c>
      <c r="L18" s="21">
        <f t="shared" si="5"/>
        <v>0</v>
      </c>
      <c r="M18" s="21"/>
      <c r="N18" s="21">
        <f t="shared" si="6"/>
        <v>0</v>
      </c>
      <c r="O18" s="21">
        <f t="shared" si="7"/>
        <v>0</v>
      </c>
      <c r="P18" s="21"/>
      <c r="Q18" s="1">
        <v>40603</v>
      </c>
      <c r="R18" s="7">
        <f>Elec!D13</f>
        <v>870</v>
      </c>
      <c r="S18" s="6">
        <f>-(Elec!E13)</f>
        <v>0</v>
      </c>
      <c r="U18" s="12">
        <f>R18*E$6</f>
        <v>2905.7999999999997</v>
      </c>
      <c r="W18" s="21">
        <f>R18*E$3</f>
        <v>2.9693099999999997</v>
      </c>
      <c r="X18" s="21">
        <f>U18*E$3</f>
        <v>9.9174953999999982</v>
      </c>
      <c r="Y18" s="12">
        <f>HDD!B15</f>
        <v>960</v>
      </c>
      <c r="Z18" s="12">
        <f>CDD!B15</f>
        <v>0</v>
      </c>
      <c r="AB18" s="50">
        <f>G18+R18+N18</f>
        <v>1041.5166879706874</v>
      </c>
      <c r="AC18" s="40">
        <f>H18+U18+O18</f>
        <v>3079.0318548503938</v>
      </c>
      <c r="AD18" s="40"/>
      <c r="AE18" s="40">
        <f>D18+W18+K18</f>
        <v>3.5546964560439558</v>
      </c>
      <c r="AF18" s="43">
        <f>E18+X18+L18</f>
        <v>10.508735720604394</v>
      </c>
    </row>
    <row r="19" spans="2:32">
      <c r="B19" s="1">
        <v>40634</v>
      </c>
      <c r="C19" s="22">
        <f>Propane!B13</f>
        <v>2.4172661870503593</v>
      </c>
      <c r="D19" s="22">
        <f t="shared" si="2"/>
        <v>0.22153664460431649</v>
      </c>
      <c r="E19" s="21">
        <f t="shared" si="3"/>
        <v>0.22375201105035966</v>
      </c>
      <c r="G19" s="21">
        <f t="shared" si="8"/>
        <v>64.909652682190597</v>
      </c>
      <c r="H19" s="21">
        <f t="shared" si="9"/>
        <v>65.558749209012504</v>
      </c>
      <c r="I19" s="21"/>
      <c r="J19" s="21">
        <f>Propane!P39</f>
        <v>0</v>
      </c>
      <c r="K19" s="21">
        <f t="shared" si="4"/>
        <v>0</v>
      </c>
      <c r="L19" s="21">
        <f t="shared" si="5"/>
        <v>0</v>
      </c>
      <c r="M19" s="21"/>
      <c r="N19" s="21">
        <f t="shared" si="6"/>
        <v>0</v>
      </c>
      <c r="O19" s="21">
        <f t="shared" si="7"/>
        <v>0</v>
      </c>
      <c r="P19" s="21"/>
      <c r="Q19" s="1">
        <v>40634</v>
      </c>
      <c r="R19" s="7">
        <f>Elec!D14</f>
        <v>938</v>
      </c>
      <c r="S19" s="6">
        <f>-(Elec!E14)</f>
        <v>0</v>
      </c>
      <c r="U19" s="12">
        <f>R19*E$6</f>
        <v>3132.92</v>
      </c>
      <c r="W19" s="21">
        <f>R19*E$3</f>
        <v>3.2013939999999996</v>
      </c>
      <c r="X19" s="21">
        <f>U19*E$3</f>
        <v>10.69265596</v>
      </c>
      <c r="Y19" s="12">
        <f>HDD!B16</f>
        <v>542</v>
      </c>
      <c r="Z19" s="12">
        <f>CDD!B16</f>
        <v>6</v>
      </c>
      <c r="AB19" s="50">
        <f>G19+R19+N19</f>
        <v>1002.9096526821907</v>
      </c>
      <c r="AC19" s="40">
        <f>H19+U19+O19</f>
        <v>3198.4787492090127</v>
      </c>
      <c r="AD19" s="40"/>
      <c r="AE19" s="40">
        <f>D19+W19+K19</f>
        <v>3.4229306446043162</v>
      </c>
      <c r="AF19" s="43">
        <f>E19+X19+L19</f>
        <v>10.91640797105036</v>
      </c>
    </row>
    <row r="20" spans="2:32">
      <c r="B20" s="1">
        <v>40664</v>
      </c>
      <c r="C20" s="22">
        <f>Propane!B14</f>
        <v>2.497841726618705</v>
      </c>
      <c r="D20" s="22">
        <f t="shared" si="2"/>
        <v>0.2289211994244604</v>
      </c>
      <c r="E20" s="21">
        <f t="shared" si="3"/>
        <v>0.23121041141870502</v>
      </c>
      <c r="G20" s="21">
        <f t="shared" si="8"/>
        <v>67.073307771596959</v>
      </c>
      <c r="H20" s="21">
        <f t="shared" si="9"/>
        <v>67.744040849312938</v>
      </c>
      <c r="I20" s="21"/>
      <c r="J20" s="21">
        <f>Propane!P40</f>
        <v>0</v>
      </c>
      <c r="K20" s="21">
        <f t="shared" si="4"/>
        <v>0</v>
      </c>
      <c r="L20" s="21">
        <f t="shared" si="5"/>
        <v>0</v>
      </c>
      <c r="M20" s="21"/>
      <c r="N20" s="21">
        <f t="shared" si="6"/>
        <v>0</v>
      </c>
      <c r="O20" s="21">
        <f t="shared" si="7"/>
        <v>0</v>
      </c>
      <c r="P20" s="21"/>
      <c r="Q20" s="1">
        <v>40664</v>
      </c>
      <c r="R20" s="7">
        <f>Elec!D15</f>
        <v>579</v>
      </c>
      <c r="S20" s="6">
        <f>-(Elec!E15)</f>
        <v>0</v>
      </c>
      <c r="U20" s="12">
        <f>R20*E$6</f>
        <v>1933.86</v>
      </c>
      <c r="W20" s="21">
        <f>R20*E$3</f>
        <v>1.976127</v>
      </c>
      <c r="X20" s="21">
        <f>U20*E$3</f>
        <v>6.600264179999999</v>
      </c>
      <c r="Y20" s="12">
        <f>HDD!B17</f>
        <v>284</v>
      </c>
      <c r="Z20" s="12">
        <f>CDD!B17</f>
        <v>51</v>
      </c>
      <c r="AB20" s="50">
        <f>G20+R20+N20</f>
        <v>646.073307771597</v>
      </c>
      <c r="AC20" s="40">
        <f>H20+U20+O20</f>
        <v>2001.6040408493129</v>
      </c>
      <c r="AD20" s="40"/>
      <c r="AE20" s="40">
        <f>D20+W20+K20</f>
        <v>2.2050481994244602</v>
      </c>
      <c r="AF20" s="43">
        <f>E20+X20+L20</f>
        <v>6.8314745914187043</v>
      </c>
    </row>
    <row r="21" spans="2:32">
      <c r="B21" s="1">
        <v>40695</v>
      </c>
      <c r="C21" s="22">
        <f>Propane!B15</f>
        <v>2.4172661870503593</v>
      </c>
      <c r="D21" s="22">
        <f t="shared" si="2"/>
        <v>0.22153664460431649</v>
      </c>
      <c r="E21" s="21">
        <f t="shared" si="3"/>
        <v>0.22375201105035966</v>
      </c>
      <c r="G21" s="21">
        <f t="shared" si="8"/>
        <v>64.909652682190597</v>
      </c>
      <c r="H21" s="21">
        <f t="shared" si="9"/>
        <v>65.558749209012504</v>
      </c>
      <c r="I21" s="21"/>
      <c r="J21" s="21">
        <f>Propane!P41</f>
        <v>0</v>
      </c>
      <c r="K21" s="21">
        <f t="shared" si="4"/>
        <v>0</v>
      </c>
      <c r="L21" s="21">
        <f t="shared" si="5"/>
        <v>0</v>
      </c>
      <c r="M21" s="21"/>
      <c r="N21" s="21">
        <f t="shared" si="6"/>
        <v>0</v>
      </c>
      <c r="O21" s="21">
        <f t="shared" si="7"/>
        <v>0</v>
      </c>
      <c r="P21" s="21"/>
      <c r="Q21" s="1">
        <v>40695</v>
      </c>
      <c r="R21" s="7">
        <f>Elec!D16</f>
        <v>571</v>
      </c>
      <c r="S21" s="6">
        <f>-(Elec!E16)</f>
        <v>0</v>
      </c>
      <c r="U21" s="12">
        <f>R21*E$6</f>
        <v>1907.1399999999999</v>
      </c>
      <c r="W21" s="21">
        <f>R21*E$3</f>
        <v>1.948823</v>
      </c>
      <c r="X21" s="21">
        <f>U21*E$3</f>
        <v>6.5090688199999995</v>
      </c>
      <c r="Y21" s="12">
        <f>HDD!B18</f>
        <v>113</v>
      </c>
      <c r="Z21" s="12">
        <f>CDD!B18</f>
        <v>97</v>
      </c>
      <c r="AB21" s="50">
        <f>G21+R21+N21</f>
        <v>635.90965268219065</v>
      </c>
      <c r="AC21" s="40">
        <f>H21+U21+O21</f>
        <v>1972.6987492090125</v>
      </c>
      <c r="AD21" s="40"/>
      <c r="AE21" s="40">
        <f>D21+W21+K21</f>
        <v>2.1703596446043165</v>
      </c>
      <c r="AF21" s="43">
        <f>E21+X21+L21</f>
        <v>6.7328208310503594</v>
      </c>
    </row>
    <row r="22" spans="2:32">
      <c r="B22" s="1">
        <v>40735</v>
      </c>
      <c r="C22" s="22">
        <f>Propane!B16</f>
        <v>2.497841726618705</v>
      </c>
      <c r="D22" s="22">
        <f t="shared" si="2"/>
        <v>0.2289211994244604</v>
      </c>
      <c r="E22" s="21">
        <f t="shared" si="3"/>
        <v>0.23121041141870502</v>
      </c>
      <c r="G22" s="21">
        <f t="shared" si="8"/>
        <v>67.073307771596959</v>
      </c>
      <c r="H22" s="21">
        <f t="shared" si="9"/>
        <v>67.744040849312938</v>
      </c>
      <c r="I22" s="21"/>
      <c r="J22" s="21">
        <f>Propane!P42</f>
        <v>0</v>
      </c>
      <c r="K22" s="21">
        <f t="shared" si="4"/>
        <v>0</v>
      </c>
      <c r="L22" s="21">
        <f t="shared" si="5"/>
        <v>0</v>
      </c>
      <c r="M22" s="21"/>
      <c r="N22" s="21">
        <f t="shared" si="6"/>
        <v>0</v>
      </c>
      <c r="O22" s="21">
        <f t="shared" si="7"/>
        <v>0</v>
      </c>
      <c r="P22" s="21"/>
      <c r="Q22" s="1">
        <v>40725</v>
      </c>
      <c r="R22" s="7">
        <f>Elec!D17</f>
        <v>430</v>
      </c>
      <c r="S22" s="6">
        <f>-(Elec!E17)</f>
        <v>0</v>
      </c>
      <c r="U22" s="12">
        <f>R22*E$6</f>
        <v>1436.2</v>
      </c>
      <c r="W22" s="21">
        <f>R22*E$3</f>
        <v>1.46759</v>
      </c>
      <c r="X22" s="21">
        <f>U22*E$3</f>
        <v>4.9017505999999997</v>
      </c>
      <c r="Y22" s="12">
        <f>HDD!B19</f>
        <v>11</v>
      </c>
      <c r="Z22" s="12">
        <f>CDD!B19</f>
        <v>260</v>
      </c>
      <c r="AB22" s="50">
        <f>G22+R22+N22</f>
        <v>497.07330777159694</v>
      </c>
      <c r="AC22" s="40">
        <f>H22+U22+O22</f>
        <v>1503.9440408493131</v>
      </c>
      <c r="AD22" s="40"/>
      <c r="AE22" s="40">
        <f>D22+W22+K22</f>
        <v>1.6965111994244604</v>
      </c>
      <c r="AF22" s="43">
        <f>E22+X22+L22</f>
        <v>5.132961011418705</v>
      </c>
    </row>
    <row r="23" spans="2:32">
      <c r="B23" s="1">
        <v>40766</v>
      </c>
      <c r="C23" s="22">
        <f>Propane!B17</f>
        <v>4.3894901470128245</v>
      </c>
      <c r="D23" s="22">
        <f t="shared" si="2"/>
        <v>0.4022862371973725</v>
      </c>
      <c r="E23" s="21">
        <f t="shared" si="3"/>
        <v>0.40630909956934624</v>
      </c>
      <c r="G23" s="21">
        <f t="shared" si="8"/>
        <v>117.86880667957004</v>
      </c>
      <c r="H23" s="21">
        <f t="shared" si="9"/>
        <v>119.04749474636574</v>
      </c>
      <c r="I23" s="21"/>
      <c r="J23" s="21">
        <f>Propane!P43</f>
        <v>0</v>
      </c>
      <c r="K23" s="21">
        <f t="shared" si="4"/>
        <v>0</v>
      </c>
      <c r="L23" s="21">
        <f t="shared" si="5"/>
        <v>0</v>
      </c>
      <c r="M23" s="21"/>
      <c r="N23" s="21">
        <f t="shared" si="6"/>
        <v>0</v>
      </c>
      <c r="O23" s="21">
        <f t="shared" si="7"/>
        <v>0</v>
      </c>
      <c r="P23" s="21"/>
      <c r="Q23" s="1">
        <v>40756</v>
      </c>
      <c r="R23" s="7">
        <f>Elec!D18</f>
        <v>777</v>
      </c>
      <c r="S23" s="6">
        <f>-(Elec!E18)</f>
        <v>0</v>
      </c>
      <c r="U23" s="12">
        <f>R23*E$6</f>
        <v>2595.1799999999998</v>
      </c>
      <c r="W23" s="21">
        <f>R23*E$3</f>
        <v>2.6519010000000001</v>
      </c>
      <c r="X23" s="21">
        <f>U23*E$3</f>
        <v>8.857349339999999</v>
      </c>
      <c r="Y23" s="12">
        <f>HDD!B20</f>
        <v>28</v>
      </c>
      <c r="Z23" s="12">
        <f>CDD!B20</f>
        <v>152</v>
      </c>
      <c r="AB23" s="50">
        <f>G23+R23+N23</f>
        <v>894.86880667957007</v>
      </c>
      <c r="AC23" s="40">
        <f>H23+U23+O23</f>
        <v>2714.2274947463657</v>
      </c>
      <c r="AD23" s="40"/>
      <c r="AE23" s="40">
        <f>D23+W23+K23</f>
        <v>3.0541872371973726</v>
      </c>
      <c r="AF23" s="43">
        <f>E23+X23+L23</f>
        <v>9.2636584395693458</v>
      </c>
    </row>
    <row r="24" spans="2:32">
      <c r="B24" s="1">
        <v>40797</v>
      </c>
      <c r="C24" s="22">
        <f>Propane!B18</f>
        <v>6.7826086956521738</v>
      </c>
      <c r="D24" s="22">
        <f t="shared" si="2"/>
        <v>0.62160980869565219</v>
      </c>
      <c r="E24" s="21">
        <f t="shared" si="3"/>
        <v>0.62782590678260874</v>
      </c>
      <c r="G24" s="21">
        <f t="shared" si="8"/>
        <v>182.13003477751312</v>
      </c>
      <c r="H24" s="21">
        <f t="shared" si="9"/>
        <v>183.95133512528827</v>
      </c>
      <c r="I24" s="21"/>
      <c r="J24" s="21">
        <f>Propane!P44</f>
        <v>0.25</v>
      </c>
      <c r="K24" s="21">
        <f t="shared" si="4"/>
        <v>7.7499999999999999E-2</v>
      </c>
      <c r="L24" s="21">
        <f t="shared" si="5"/>
        <v>7.7499999999999999E-2</v>
      </c>
      <c r="M24" s="21"/>
      <c r="N24" s="21">
        <f t="shared" si="6"/>
        <v>22.707295634339292</v>
      </c>
      <c r="O24" s="21">
        <f t="shared" si="7"/>
        <v>22.707295634339292</v>
      </c>
      <c r="P24" s="21"/>
      <c r="Q24" s="1">
        <v>40787</v>
      </c>
      <c r="R24" s="7">
        <f>Elec!D19</f>
        <v>559</v>
      </c>
      <c r="S24" s="6">
        <f>-(Elec!E19)</f>
        <v>0</v>
      </c>
      <c r="U24" s="12">
        <f>R24*E$6</f>
        <v>1867.06</v>
      </c>
      <c r="W24" s="21">
        <f>R24*E$3</f>
        <v>1.907867</v>
      </c>
      <c r="X24" s="21">
        <f>U24*E$3</f>
        <v>6.3722757799999998</v>
      </c>
      <c r="Y24" s="12">
        <f>HDD!B21</f>
        <v>114</v>
      </c>
      <c r="Z24" s="12">
        <f>CDD!B21</f>
        <v>81</v>
      </c>
      <c r="AB24" s="50">
        <f>G24+R24+N24</f>
        <v>763.83733041185246</v>
      </c>
      <c r="AC24" s="40">
        <f>H24+U24+O24</f>
        <v>2073.7186307596276</v>
      </c>
      <c r="AD24" s="40"/>
      <c r="AE24" s="40">
        <f>D24+W24+K24</f>
        <v>2.6069768086956522</v>
      </c>
      <c r="AF24" s="43">
        <f>E24+X24+L24</f>
        <v>7.0776016867826081</v>
      </c>
    </row>
    <row r="25" spans="2:32">
      <c r="B25" s="1">
        <v>40827</v>
      </c>
      <c r="C25" s="22">
        <f>Propane!B19</f>
        <v>7.0086956521739134</v>
      </c>
      <c r="D25" s="22">
        <f t="shared" si="2"/>
        <v>0.64233013565217389</v>
      </c>
      <c r="E25" s="21">
        <f t="shared" si="3"/>
        <v>0.64875343700869559</v>
      </c>
      <c r="G25" s="21">
        <f t="shared" si="8"/>
        <v>188.20103593676353</v>
      </c>
      <c r="H25" s="21">
        <f t="shared" si="9"/>
        <v>190.08304629613116</v>
      </c>
      <c r="I25" s="21"/>
      <c r="J25" s="21">
        <f>Propane!P45</f>
        <v>0.75</v>
      </c>
      <c r="K25" s="21">
        <f t="shared" si="4"/>
        <v>0.23249999999999998</v>
      </c>
      <c r="L25" s="21">
        <f t="shared" si="5"/>
        <v>0.23249999999999998</v>
      </c>
      <c r="M25" s="21"/>
      <c r="N25" s="21">
        <f t="shared" si="6"/>
        <v>68.121886903017881</v>
      </c>
      <c r="O25" s="21">
        <f t="shared" si="7"/>
        <v>68.121886903017881</v>
      </c>
      <c r="P25" s="21"/>
      <c r="Q25" s="1">
        <v>40817</v>
      </c>
      <c r="R25" s="7">
        <f>Elec!D20</f>
        <v>607</v>
      </c>
      <c r="S25" s="6">
        <f>-(Elec!E20)</f>
        <v>0</v>
      </c>
      <c r="U25" s="12">
        <f>R25*E$6</f>
        <v>2027.3799999999999</v>
      </c>
      <c r="W25" s="21">
        <f>R25*E$3</f>
        <v>2.0716909999999999</v>
      </c>
      <c r="X25" s="21">
        <f>U25*E$3</f>
        <v>6.9194479399999995</v>
      </c>
      <c r="Y25" s="12">
        <f>HDD!B22</f>
        <v>438</v>
      </c>
      <c r="Z25" s="12">
        <f>CDD!B22</f>
        <v>13</v>
      </c>
      <c r="AB25" s="50">
        <f>G25+R25+N25</f>
        <v>863.32292283978143</v>
      </c>
      <c r="AC25" s="40">
        <f>H25+U25+O25</f>
        <v>2285.584933199149</v>
      </c>
      <c r="AD25" s="40"/>
      <c r="AE25" s="40">
        <f>D25+W25+K25</f>
        <v>2.9465211356521737</v>
      </c>
      <c r="AF25" s="43">
        <f>E25+X25+L25</f>
        <v>7.8007013770086946</v>
      </c>
    </row>
    <row r="26" spans="2:32">
      <c r="B26" s="1">
        <v>40858</v>
      </c>
      <c r="C26" s="22">
        <f>Propane!B20</f>
        <v>6.7826086956521738</v>
      </c>
      <c r="D26" s="22">
        <f t="shared" si="2"/>
        <v>0.62160980869565219</v>
      </c>
      <c r="E26" s="21">
        <f t="shared" si="3"/>
        <v>0.62782590678260874</v>
      </c>
      <c r="G26" s="21">
        <f t="shared" si="8"/>
        <v>182.13003477751312</v>
      </c>
      <c r="H26" s="21">
        <f t="shared" si="9"/>
        <v>183.95133512528827</v>
      </c>
      <c r="I26" s="21"/>
      <c r="J26" s="21">
        <f>Propane!P46</f>
        <v>1</v>
      </c>
      <c r="K26" s="21">
        <f t="shared" si="4"/>
        <v>0.31</v>
      </c>
      <c r="L26" s="21">
        <f t="shared" si="5"/>
        <v>0.31</v>
      </c>
      <c r="M26" s="21"/>
      <c r="N26" s="21">
        <f t="shared" si="6"/>
        <v>90.82918253735717</v>
      </c>
      <c r="O26" s="21">
        <f t="shared" si="7"/>
        <v>90.82918253735717</v>
      </c>
      <c r="P26" s="21"/>
      <c r="Q26" s="1">
        <v>40848</v>
      </c>
      <c r="R26" s="7">
        <f>Elec!D21</f>
        <v>670</v>
      </c>
      <c r="S26" s="6">
        <f>-(Elec!E21)</f>
        <v>0</v>
      </c>
      <c r="U26" s="12">
        <f>R26*E$6</f>
        <v>2237.7999999999997</v>
      </c>
      <c r="W26" s="21">
        <f>R26*E$3</f>
        <v>2.2867099999999998</v>
      </c>
      <c r="X26" s="21">
        <f>U26*E$3</f>
        <v>7.6376113999999991</v>
      </c>
      <c r="Y26" s="12">
        <f>HDD!B23</f>
        <v>556</v>
      </c>
      <c r="Z26" s="12">
        <f>CDD!B23</f>
        <v>0</v>
      </c>
      <c r="AB26" s="50">
        <f>G26+R26+N26</f>
        <v>942.95921731487033</v>
      </c>
      <c r="AC26" s="40">
        <f>H26+U26+O26</f>
        <v>2512.580517662645</v>
      </c>
      <c r="AD26" s="40"/>
      <c r="AE26" s="40">
        <f>D26+W26+K26</f>
        <v>3.2183198086956519</v>
      </c>
      <c r="AF26" s="43">
        <f>E26+X26+L26</f>
        <v>8.5754373067826091</v>
      </c>
    </row>
    <row r="27" spans="2:32">
      <c r="B27" s="1">
        <v>40888</v>
      </c>
      <c r="C27" s="22">
        <f>Propane!B21</f>
        <v>7.0086956521739134</v>
      </c>
      <c r="D27" s="22">
        <f t="shared" si="2"/>
        <v>0.64233013565217389</v>
      </c>
      <c r="E27" s="21">
        <f t="shared" si="3"/>
        <v>0.64875343700869559</v>
      </c>
      <c r="G27" s="21">
        <f t="shared" si="8"/>
        <v>188.20103593676353</v>
      </c>
      <c r="H27" s="21">
        <f t="shared" si="9"/>
        <v>190.08304629613116</v>
      </c>
      <c r="I27" s="21"/>
      <c r="J27" s="21">
        <f>Propane!P47</f>
        <v>1</v>
      </c>
      <c r="K27" s="21">
        <f t="shared" si="4"/>
        <v>0.31</v>
      </c>
      <c r="L27" s="21">
        <f t="shared" si="5"/>
        <v>0.31</v>
      </c>
      <c r="M27" s="21"/>
      <c r="N27" s="21">
        <f t="shared" si="6"/>
        <v>90.82918253735717</v>
      </c>
      <c r="O27" s="21">
        <f t="shared" si="7"/>
        <v>90.82918253735717</v>
      </c>
      <c r="P27" s="21"/>
      <c r="Q27" s="1">
        <v>40878</v>
      </c>
      <c r="R27" s="7">
        <f>Elec!D22</f>
        <v>1158</v>
      </c>
      <c r="S27" s="6">
        <f>-(Elec!E22)</f>
        <v>0</v>
      </c>
      <c r="U27" s="12">
        <f>R27*E$6</f>
        <v>3867.72</v>
      </c>
      <c r="W27" s="21">
        <f>R27*E$3</f>
        <v>3.9522539999999999</v>
      </c>
      <c r="X27" s="21">
        <f>U27*E$3</f>
        <v>13.200528359999998</v>
      </c>
      <c r="Y27" s="12">
        <f>HDD!B24</f>
        <v>897</v>
      </c>
      <c r="Z27" s="12">
        <f>CDD!B24</f>
        <v>0</v>
      </c>
      <c r="AB27" s="50">
        <f>G27+R27+N27</f>
        <v>1437.0302184741206</v>
      </c>
      <c r="AC27" s="40">
        <f>H27+U27+O27</f>
        <v>4148.6322288334886</v>
      </c>
      <c r="AD27" s="40"/>
      <c r="AE27" s="40">
        <f>D27+W27+K27</f>
        <v>4.9045841356521738</v>
      </c>
      <c r="AF27" s="43">
        <f>E27+X27+L27</f>
        <v>14.159281797008694</v>
      </c>
    </row>
    <row r="28" spans="2:32">
      <c r="B28" s="1">
        <v>40920</v>
      </c>
      <c r="C28" s="22">
        <f>Propane!B22</f>
        <v>6.6076726342710996</v>
      </c>
      <c r="D28" s="22">
        <f t="shared" si="2"/>
        <v>0.60557733851662399</v>
      </c>
      <c r="E28" s="21">
        <f t="shared" si="3"/>
        <v>0.61163311190179026</v>
      </c>
      <c r="G28" s="21">
        <f t="shared" si="8"/>
        <v>177.43256329230121</v>
      </c>
      <c r="H28" s="21">
        <f t="shared" si="9"/>
        <v>179.20688892522423</v>
      </c>
      <c r="I28" s="21"/>
      <c r="J28" s="21">
        <f>Propane!P48</f>
        <v>3</v>
      </c>
      <c r="K28" s="21">
        <f t="shared" si="4"/>
        <v>0.92999999999999994</v>
      </c>
      <c r="L28" s="21">
        <f t="shared" si="5"/>
        <v>0.92999999999999994</v>
      </c>
      <c r="M28" s="21"/>
      <c r="N28" s="21">
        <f t="shared" si="6"/>
        <v>272.48754761207152</v>
      </c>
      <c r="O28" s="21">
        <f t="shared" si="7"/>
        <v>272.48754761207152</v>
      </c>
      <c r="P28" s="21"/>
      <c r="Q28" s="1">
        <v>40909</v>
      </c>
      <c r="R28" s="7">
        <f>Elec!D23</f>
        <v>1615</v>
      </c>
      <c r="S28" s="6">
        <f>-(Elec!E23)</f>
        <v>0</v>
      </c>
      <c r="U28" s="12">
        <f>R28*E$6</f>
        <v>5394.0999999999995</v>
      </c>
      <c r="W28" s="21">
        <f>R28*E$3</f>
        <v>5.5119949999999998</v>
      </c>
      <c r="X28" s="21">
        <f>U28*E$3</f>
        <v>18.410063299999997</v>
      </c>
      <c r="Y28" s="12">
        <f>HDD!B25</f>
        <v>1116</v>
      </c>
      <c r="Z28" s="12">
        <f>CDD!B25</f>
        <v>0</v>
      </c>
      <c r="AB28" s="50">
        <f>G28+R28+N28</f>
        <v>2064.9201109043729</v>
      </c>
      <c r="AC28" s="40">
        <f>H28+U28+O28</f>
        <v>5845.794436537295</v>
      </c>
      <c r="AD28" s="40"/>
      <c r="AE28" s="40">
        <f>D28+W28+K28</f>
        <v>7.0475723385166233</v>
      </c>
      <c r="AF28" s="43">
        <f>E28+X28+L28</f>
        <v>19.951696411901786</v>
      </c>
    </row>
    <row r="29" spans="2:32">
      <c r="B29" s="1">
        <v>40940</v>
      </c>
      <c r="C29" s="22">
        <f>Propane!B23</f>
        <v>6.1411764705882348</v>
      </c>
      <c r="D29" s="22">
        <f t="shared" si="2"/>
        <v>0.5628240847058823</v>
      </c>
      <c r="E29" s="21">
        <f t="shared" si="3"/>
        <v>0.56845232555294112</v>
      </c>
      <c r="G29" s="21">
        <f t="shared" si="8"/>
        <v>164.90597266506956</v>
      </c>
      <c r="H29" s="21">
        <f t="shared" si="9"/>
        <v>166.55503239172023</v>
      </c>
      <c r="I29" s="21"/>
      <c r="J29" s="21">
        <f>Propane!P49</f>
        <v>3</v>
      </c>
      <c r="K29" s="21">
        <f t="shared" si="4"/>
        <v>0.92999999999999994</v>
      </c>
      <c r="L29" s="21">
        <f t="shared" si="5"/>
        <v>0.92999999999999994</v>
      </c>
      <c r="M29" s="21"/>
      <c r="N29" s="21">
        <f t="shared" si="6"/>
        <v>272.48754761207152</v>
      </c>
      <c r="O29" s="21">
        <f t="shared" si="7"/>
        <v>272.48754761207152</v>
      </c>
      <c r="P29" s="21"/>
      <c r="Q29" s="1">
        <v>40940</v>
      </c>
      <c r="R29" s="7">
        <f>Elec!D24</f>
        <v>1641</v>
      </c>
      <c r="S29" s="6">
        <f>-(Elec!E24)</f>
        <v>0</v>
      </c>
      <c r="U29" s="12">
        <f>R29*E$6</f>
        <v>5480.94</v>
      </c>
      <c r="W29" s="21">
        <f>R29*E$3</f>
        <v>5.600733</v>
      </c>
      <c r="X29" s="21">
        <f>U29*E$3</f>
        <v>18.706448219999999</v>
      </c>
      <c r="Y29" s="12">
        <f>HDD!B26</f>
        <v>926</v>
      </c>
      <c r="Z29" s="12">
        <f>CDD!B26</f>
        <v>0</v>
      </c>
      <c r="AB29" s="50">
        <f>G29+R29+N29</f>
        <v>2078.3935202771413</v>
      </c>
      <c r="AC29" s="40">
        <f>H29+U29+O29</f>
        <v>5919.9825800037916</v>
      </c>
      <c r="AD29" s="40"/>
      <c r="AE29" s="40">
        <f>D29+W29+K29</f>
        <v>7.093557084705882</v>
      </c>
      <c r="AF29" s="43">
        <f>E29+X29+L29</f>
        <v>20.204900545552938</v>
      </c>
    </row>
    <row r="30" spans="2:32">
      <c r="B30" s="1">
        <v>40969</v>
      </c>
      <c r="C30" s="22">
        <f>Propane!B24</f>
        <v>6.5647058823529409</v>
      </c>
      <c r="D30" s="22">
        <f t="shared" si="2"/>
        <v>0.60163953882352939</v>
      </c>
      <c r="E30" s="21">
        <f t="shared" si="3"/>
        <v>0.60765593421176467</v>
      </c>
      <c r="G30" s="21">
        <f t="shared" si="8"/>
        <v>176.27879836610884</v>
      </c>
      <c r="H30" s="21">
        <f t="shared" si="9"/>
        <v>178.04158634976991</v>
      </c>
      <c r="I30" s="21"/>
      <c r="J30" s="21">
        <f>Propane!P50</f>
        <v>0</v>
      </c>
      <c r="K30" s="21">
        <f t="shared" si="4"/>
        <v>0</v>
      </c>
      <c r="L30" s="21">
        <f t="shared" si="5"/>
        <v>0</v>
      </c>
      <c r="M30" s="21"/>
      <c r="N30" s="21">
        <f t="shared" si="6"/>
        <v>0</v>
      </c>
      <c r="O30" s="21">
        <f t="shared" si="7"/>
        <v>0</v>
      </c>
      <c r="P30" s="21"/>
      <c r="Q30" s="1">
        <v>40969</v>
      </c>
      <c r="R30" s="7">
        <f>Elec!D25</f>
        <v>983</v>
      </c>
      <c r="S30" s="6">
        <f>-(Elec!E25)</f>
        <v>0</v>
      </c>
      <c r="U30" s="12">
        <f>R30*E$6</f>
        <v>3283.22</v>
      </c>
      <c r="W30" s="21">
        <f>R30*E$3</f>
        <v>3.3549789999999997</v>
      </c>
      <c r="X30" s="21">
        <f>U30*E$3</f>
        <v>11.205629859999998</v>
      </c>
      <c r="Y30" s="12">
        <f>HDD!B27</f>
        <v>675</v>
      </c>
      <c r="Z30" s="12">
        <f>CDD!B27</f>
        <v>15</v>
      </c>
      <c r="AB30" s="50">
        <f>G30+R30+N30</f>
        <v>1159.2787983661087</v>
      </c>
      <c r="AC30" s="40">
        <f>H30+U30+O30</f>
        <v>3461.2615863497699</v>
      </c>
      <c r="AD30" s="40"/>
      <c r="AE30" s="40">
        <f>D30+W30+K30</f>
        <v>3.9566185388235291</v>
      </c>
      <c r="AF30" s="43">
        <f>E30+X30+L30</f>
        <v>11.813285794211764</v>
      </c>
    </row>
    <row r="31" spans="2:32">
      <c r="B31" s="1">
        <v>41000</v>
      </c>
      <c r="C31" s="22">
        <f>Propane!B25</f>
        <v>6.3529411764705879</v>
      </c>
      <c r="D31" s="22">
        <f t="shared" si="2"/>
        <v>0.58223181176470584</v>
      </c>
      <c r="E31" s="21">
        <f t="shared" si="3"/>
        <v>0.58805412988235295</v>
      </c>
      <c r="G31" s="21">
        <f t="shared" si="8"/>
        <v>170.5923855155892</v>
      </c>
      <c r="H31" s="21">
        <f t="shared" si="9"/>
        <v>172.2983093707451</v>
      </c>
      <c r="I31" s="21"/>
      <c r="J31" s="21">
        <f>Propane!P51</f>
        <v>0</v>
      </c>
      <c r="K31" s="21">
        <f t="shared" si="4"/>
        <v>0</v>
      </c>
      <c r="L31" s="21">
        <f t="shared" si="5"/>
        <v>0</v>
      </c>
      <c r="M31" s="21"/>
      <c r="N31" s="21">
        <f t="shared" si="6"/>
        <v>0</v>
      </c>
      <c r="O31" s="21">
        <f t="shared" si="7"/>
        <v>0</v>
      </c>
      <c r="P31" s="21"/>
      <c r="Q31" s="1">
        <v>41000</v>
      </c>
      <c r="R31" s="7">
        <f>Elec!D26</f>
        <v>502</v>
      </c>
      <c r="S31" s="6">
        <f>-(Elec!E26)</f>
        <v>0</v>
      </c>
      <c r="U31" s="12">
        <f>R31*E$6</f>
        <v>1676.6799999999998</v>
      </c>
      <c r="W31" s="21">
        <f>R31*E$3</f>
        <v>1.7133259999999999</v>
      </c>
      <c r="X31" s="21">
        <f>U31*E$3</f>
        <v>5.7225088399999988</v>
      </c>
      <c r="Y31" s="12">
        <f>HDD!B28</f>
        <v>499</v>
      </c>
      <c r="Z31" s="12">
        <f>CDD!B28</f>
        <v>18</v>
      </c>
      <c r="AB31" s="50">
        <f>G31+R31+N31</f>
        <v>672.59238551558917</v>
      </c>
      <c r="AC31" s="40">
        <f>H31+U31+O31</f>
        <v>1848.9783093707449</v>
      </c>
      <c r="AD31" s="40"/>
      <c r="AE31" s="40">
        <f>D31+W31+K31</f>
        <v>2.2955578117647057</v>
      </c>
      <c r="AF31" s="43">
        <f>E31+X31+L31</f>
        <v>6.3105629698823513</v>
      </c>
    </row>
    <row r="32" spans="2:32">
      <c r="B32" s="1">
        <v>41030</v>
      </c>
      <c r="C32" s="22">
        <f>Propane!B26</f>
        <v>3.8117647058823527</v>
      </c>
      <c r="D32" s="22">
        <f t="shared" si="2"/>
        <v>0.34933908705882349</v>
      </c>
      <c r="E32" s="21">
        <f t="shared" si="3"/>
        <v>0.35283247792941175</v>
      </c>
      <c r="G32" s="21">
        <f t="shared" si="8"/>
        <v>102.35543130935351</v>
      </c>
      <c r="H32" s="21">
        <f t="shared" si="9"/>
        <v>103.37898562244705</v>
      </c>
      <c r="I32" s="21"/>
      <c r="J32" s="21">
        <f>Propane!P52</f>
        <v>0</v>
      </c>
      <c r="K32" s="21">
        <f t="shared" si="4"/>
        <v>0</v>
      </c>
      <c r="L32" s="21">
        <f t="shared" si="5"/>
        <v>0</v>
      </c>
      <c r="M32" s="21"/>
      <c r="N32" s="21">
        <f t="shared" si="6"/>
        <v>0</v>
      </c>
      <c r="O32" s="21">
        <f t="shared" si="7"/>
        <v>0</v>
      </c>
      <c r="P32" s="21"/>
      <c r="Q32" s="1">
        <v>41030</v>
      </c>
      <c r="R32" s="7">
        <f>Elec!D27</f>
        <v>585</v>
      </c>
      <c r="S32" s="6">
        <f>-(Elec!E27)</f>
        <v>0</v>
      </c>
      <c r="U32" s="12">
        <f>R32*E$6</f>
        <v>1953.8999999999999</v>
      </c>
      <c r="W32" s="21">
        <f>R32*E$3</f>
        <v>1.996605</v>
      </c>
      <c r="X32" s="21">
        <f>U32*E$3</f>
        <v>6.6686606999999993</v>
      </c>
      <c r="Y32" s="12">
        <f>HDD!B29</f>
        <v>203</v>
      </c>
      <c r="Z32" s="12">
        <f>CDD!B29</f>
        <v>60</v>
      </c>
      <c r="AB32" s="50">
        <f>G32+R32+N32</f>
        <v>687.35543130935355</v>
      </c>
      <c r="AC32" s="40">
        <f>H32+U32+O32</f>
        <v>2057.2789856224467</v>
      </c>
      <c r="AD32" s="40"/>
      <c r="AE32" s="40">
        <f>D32+W32+K32</f>
        <v>2.3459440870588235</v>
      </c>
      <c r="AF32" s="43">
        <f>E32+X32+L32</f>
        <v>7.0214931779294112</v>
      </c>
    </row>
    <row r="33" spans="1:32">
      <c r="B33" s="1">
        <v>41061</v>
      </c>
      <c r="C33" s="22">
        <f>Propane!B27</f>
        <v>2.4172661870503593</v>
      </c>
      <c r="D33" s="22">
        <f t="shared" si="2"/>
        <v>0.22153664460431649</v>
      </c>
      <c r="E33" s="21">
        <f t="shared" si="3"/>
        <v>0.22375201105035966</v>
      </c>
      <c r="G33" s="21">
        <f t="shared" si="8"/>
        <v>64.909652682190597</v>
      </c>
      <c r="H33" s="21">
        <f t="shared" si="9"/>
        <v>65.558749209012504</v>
      </c>
      <c r="I33" s="21"/>
      <c r="J33" s="21">
        <f>Propane!P53</f>
        <v>0</v>
      </c>
      <c r="K33" s="21">
        <f t="shared" si="4"/>
        <v>0</v>
      </c>
      <c r="L33" s="21">
        <f t="shared" si="5"/>
        <v>0</v>
      </c>
      <c r="M33" s="21"/>
      <c r="N33" s="21">
        <f t="shared" si="6"/>
        <v>0</v>
      </c>
      <c r="O33" s="21">
        <f t="shared" si="7"/>
        <v>0</v>
      </c>
      <c r="P33" s="21"/>
      <c r="Q33" s="1">
        <v>41061</v>
      </c>
      <c r="R33" s="7">
        <f>Elec!D28</f>
        <v>633</v>
      </c>
      <c r="S33" s="6">
        <f>-(Elec!E28)</f>
        <v>0</v>
      </c>
      <c r="U33" s="12">
        <f>R33*E$6</f>
        <v>2114.2199999999998</v>
      </c>
      <c r="W33" s="21">
        <f>R33*E$3</f>
        <v>2.1604289999999997</v>
      </c>
      <c r="X33" s="21">
        <f>U33*E$3</f>
        <v>7.215832859999999</v>
      </c>
      <c r="Y33" s="12">
        <f>HDD!B30</f>
        <v>122</v>
      </c>
      <c r="Z33" s="12">
        <f>CDD!B30</f>
        <v>107</v>
      </c>
      <c r="AB33" s="50">
        <f>G33+R33+N33</f>
        <v>697.90965268219065</v>
      </c>
      <c r="AC33" s="40">
        <f>H33+U33+O33</f>
        <v>2179.7787492090124</v>
      </c>
      <c r="AD33" s="40"/>
      <c r="AE33" s="40">
        <f>D33+W33+K33</f>
        <v>2.3819656446043163</v>
      </c>
      <c r="AF33" s="43">
        <f>E33+X33+L33</f>
        <v>7.4395848710503589</v>
      </c>
    </row>
    <row r="34" spans="1:32">
      <c r="B34" s="1">
        <v>41101</v>
      </c>
      <c r="C34" s="22">
        <f>Propane!B28</f>
        <v>2.497841726618705</v>
      </c>
      <c r="D34" s="22">
        <f t="shared" si="2"/>
        <v>0.2289211994244604</v>
      </c>
      <c r="E34" s="21">
        <f t="shared" si="3"/>
        <v>0.23121041141870502</v>
      </c>
      <c r="G34" s="21">
        <f t="shared" si="8"/>
        <v>67.073307771596959</v>
      </c>
      <c r="H34" s="21">
        <f t="shared" si="9"/>
        <v>67.744040849312938</v>
      </c>
      <c r="I34" s="21"/>
      <c r="J34" s="21">
        <f>Propane!P54</f>
        <v>0</v>
      </c>
      <c r="K34" s="21">
        <f t="shared" si="4"/>
        <v>0</v>
      </c>
      <c r="L34" s="21">
        <f t="shared" si="5"/>
        <v>0</v>
      </c>
      <c r="M34" s="21"/>
      <c r="N34" s="21">
        <f t="shared" si="6"/>
        <v>0</v>
      </c>
      <c r="O34" s="21">
        <f t="shared" si="7"/>
        <v>0</v>
      </c>
      <c r="P34" s="21"/>
      <c r="Q34" s="1">
        <v>41091</v>
      </c>
      <c r="R34" s="7">
        <f>Elec!D29</f>
        <v>867</v>
      </c>
      <c r="S34" s="6">
        <f>-(Elec!E29)</f>
        <v>0</v>
      </c>
      <c r="U34" s="12">
        <f>R34*E$6</f>
        <v>2895.7799999999997</v>
      </c>
      <c r="W34" s="21">
        <f>R34*E$3</f>
        <v>2.9590709999999998</v>
      </c>
      <c r="X34" s="21">
        <f>U34*E$3</f>
        <v>9.883297139999998</v>
      </c>
      <c r="Y34" s="12">
        <f>HDD!B31</f>
        <v>10</v>
      </c>
      <c r="Z34" s="12">
        <f>CDD!B31</f>
        <v>254</v>
      </c>
      <c r="AB34" s="51">
        <f>G34+R34+N34</f>
        <v>934.073307771597</v>
      </c>
      <c r="AC34" s="45">
        <f>H34+U34+O34</f>
        <v>2963.5240408493128</v>
      </c>
      <c r="AD34" s="45"/>
      <c r="AE34" s="45">
        <f>D34+W34+K34</f>
        <v>3.18799219942446</v>
      </c>
      <c r="AF34" s="46">
        <f>E34+X34+L34</f>
        <v>10.114507551418702</v>
      </c>
    </row>
    <row r="35" spans="1:32">
      <c r="B35" s="1"/>
      <c r="C35" s="22" t="s">
        <v>135</v>
      </c>
      <c r="D35" s="22">
        <f>SUM(D29:D34)</f>
        <v>2.5464923663817176</v>
      </c>
      <c r="E35" s="21">
        <f t="shared" si="3"/>
        <v>2.571957290045535</v>
      </c>
      <c r="G35" s="21"/>
      <c r="H35" s="21"/>
      <c r="J35" s="21" t="s">
        <v>135</v>
      </c>
      <c r="K35" s="21">
        <f>SUM(K29:K34)</f>
        <v>0.92999999999999994</v>
      </c>
      <c r="L35" s="21">
        <f t="shared" si="5"/>
        <v>0.92999999999999994</v>
      </c>
      <c r="N35" s="21"/>
      <c r="O35" s="21"/>
      <c r="V35" s="12" t="s">
        <v>135</v>
      </c>
      <c r="W35" s="21">
        <f>SUM(W29:W34)</f>
        <v>17.785142999999998</v>
      </c>
      <c r="X35" s="21">
        <f>SUM(X29:X34)</f>
        <v>59.402377619999989</v>
      </c>
      <c r="AE35" s="66">
        <f>D35+W35+K35</f>
        <v>21.261635366381714</v>
      </c>
      <c r="AF35" s="67">
        <f>E35+X35+L35</f>
        <v>62.90433491004552</v>
      </c>
    </row>
    <row r="36" spans="1:32" s="12" customFormat="1">
      <c r="B36" s="1"/>
      <c r="C36" s="22" t="s">
        <v>136</v>
      </c>
      <c r="D36" s="22">
        <f>SUM(D23:D34)</f>
        <v>6.0822358307913671</v>
      </c>
      <c r="E36" s="21">
        <f t="shared" si="3"/>
        <v>6.143058189099281</v>
      </c>
      <c r="J36" s="21" t="s">
        <v>136</v>
      </c>
      <c r="K36" s="21">
        <f>SUM(K23:K34)</f>
        <v>2.79</v>
      </c>
      <c r="L36" s="21">
        <f>SUM(L23:L34)</f>
        <v>2.79</v>
      </c>
      <c r="N36" s="21"/>
      <c r="O36" s="21"/>
      <c r="V36" s="12" t="s">
        <v>136</v>
      </c>
      <c r="W36" s="21">
        <f>SUM(W23:W34)</f>
        <v>36.167560999999999</v>
      </c>
      <c r="X36" s="21">
        <f>SUM(X23:X34)</f>
        <v>120.79965374</v>
      </c>
      <c r="AE36" s="66">
        <f>D36+W36+K36</f>
        <v>45.039796830791367</v>
      </c>
    </row>
    <row r="37" spans="1:32" s="12" customFormat="1">
      <c r="A37" s="12" t="s">
        <v>133</v>
      </c>
      <c r="B37" s="1"/>
      <c r="C37" s="22"/>
      <c r="D37" s="22"/>
      <c r="E37" s="21"/>
      <c r="J37" s="21"/>
      <c r="K37" s="21"/>
      <c r="L37" s="21"/>
      <c r="N37" s="21"/>
      <c r="O37" s="21"/>
    </row>
    <row r="38" spans="1:32" s="12" customFormat="1">
      <c r="B38" s="1"/>
      <c r="C38" s="22">
        <f>SUM(C29:C34)/6</f>
        <v>4.6309493581605308</v>
      </c>
      <c r="D38" s="22">
        <f t="shared" ref="D38" si="10">C38*E$4</f>
        <v>0.42441539439695303</v>
      </c>
      <c r="E38" s="60">
        <f t="shared" ref="E38" si="11">D38*E$8</f>
        <v>0.42865954834092257</v>
      </c>
      <c r="J38" s="21"/>
      <c r="K38" s="21"/>
      <c r="L38" s="21"/>
      <c r="N38" s="21"/>
      <c r="O38" s="21"/>
      <c r="R38" s="12">
        <f>MIN(R29:R34)</f>
        <v>502</v>
      </c>
      <c r="W38" s="60">
        <f>R38*E$3</f>
        <v>1.7133259999999999</v>
      </c>
      <c r="X38" s="60">
        <f>W38*$E$6</f>
        <v>5.7225088399999997</v>
      </c>
      <c r="AE38" s="60">
        <f>D38+W38+K38</f>
        <v>2.137741394396953</v>
      </c>
      <c r="AF38" s="61">
        <f>E38+X38+L38</f>
        <v>6.1511683883409223</v>
      </c>
    </row>
    <row r="39" spans="1:32">
      <c r="A39" s="12" t="s">
        <v>108</v>
      </c>
      <c r="B39" s="12"/>
      <c r="C39" s="56"/>
      <c r="D39" s="56"/>
      <c r="R39" s="12"/>
    </row>
    <row r="40" spans="1:32" s="12" customFormat="1">
      <c r="A40" s="57"/>
      <c r="B40" s="58"/>
      <c r="C40" s="59">
        <f>SUM(C22:C34)/12</f>
        <v>5.7386091127098311</v>
      </c>
      <c r="D40" s="22">
        <f t="shared" si="2"/>
        <v>0.52592975251798546</v>
      </c>
      <c r="E40" s="60">
        <f t="shared" ref="E40" si="12">D40*E$8</f>
        <v>0.5311890500431653</v>
      </c>
      <c r="F40" s="58"/>
      <c r="G40" s="60">
        <f t="shared" ref="G40" si="13">D40*E$1</f>
        <v>154.09603062349416</v>
      </c>
      <c r="H40" s="60">
        <f t="shared" ref="H40" si="14">E40*E$1</f>
        <v>155.63699092972908</v>
      </c>
      <c r="I40" s="58"/>
      <c r="J40" s="58"/>
      <c r="K40" s="58"/>
      <c r="L40" s="58"/>
      <c r="M40" s="58"/>
      <c r="N40" s="58"/>
      <c r="O40" s="58"/>
      <c r="P40" s="58"/>
      <c r="Q40" s="58"/>
      <c r="R40" s="58">
        <f>SUM(R41:R42)/2</f>
        <v>530.5</v>
      </c>
      <c r="S40" s="58"/>
      <c r="T40" s="58"/>
      <c r="U40" s="58"/>
      <c r="V40" s="58"/>
      <c r="W40" s="60">
        <f>R40*E$3</f>
        <v>1.8105964999999999</v>
      </c>
      <c r="X40" s="60">
        <f>W40*$E$6</f>
        <v>6.0473923099999993</v>
      </c>
      <c r="Y40" s="58"/>
      <c r="Z40" s="58"/>
      <c r="AA40" s="58"/>
      <c r="AB40" s="60"/>
      <c r="AC40" s="60"/>
      <c r="AD40" s="60"/>
      <c r="AE40" s="60">
        <f>D40+W40+K40</f>
        <v>2.3365262525179853</v>
      </c>
      <c r="AF40" s="61">
        <f>E40+X40+L40</f>
        <v>6.5785813600431648</v>
      </c>
    </row>
    <row r="41" spans="1:32" s="12" customFormat="1">
      <c r="C41" s="55"/>
      <c r="D41" s="22"/>
      <c r="E41" s="21"/>
      <c r="G41" s="21"/>
      <c r="H41" s="21"/>
      <c r="R41" s="12">
        <f>MIN(R23:R34)</f>
        <v>502</v>
      </c>
      <c r="W41" s="21"/>
      <c r="X41" s="21"/>
      <c r="AB41" s="40"/>
      <c r="AC41" s="40"/>
      <c r="AD41" s="40"/>
      <c r="AE41" s="40"/>
      <c r="AF41" s="43"/>
    </row>
    <row r="42" spans="1:32">
      <c r="C42" s="21"/>
      <c r="R42" s="21">
        <f>MIN(R32:R34,R23:R30)</f>
        <v>559</v>
      </c>
      <c r="Z42" s="23"/>
      <c r="AA42" s="24"/>
      <c r="AB42" s="24"/>
      <c r="AC42" s="24"/>
      <c r="AD42" s="24"/>
      <c r="AE42" s="24"/>
      <c r="AF42" s="25"/>
    </row>
    <row r="43" spans="1:32">
      <c r="C43" s="21"/>
      <c r="R43" s="21"/>
      <c r="Z43" s="26"/>
      <c r="AA43" s="27"/>
      <c r="AB43" s="27" t="s">
        <v>17</v>
      </c>
      <c r="AC43" s="27" t="s">
        <v>20</v>
      </c>
      <c r="AD43" s="27"/>
      <c r="AE43" s="27" t="s">
        <v>18</v>
      </c>
      <c r="AF43" s="28" t="s">
        <v>19</v>
      </c>
    </row>
    <row r="44" spans="1:32">
      <c r="C44" s="21">
        <f>SUM(C29:C34)</f>
        <v>27.785696148963183</v>
      </c>
      <c r="R44" s="21">
        <f>SUM(R29:R34)</f>
        <v>5211</v>
      </c>
      <c r="Z44" s="26"/>
      <c r="AA44" s="27"/>
      <c r="AB44" s="27"/>
      <c r="AC44" s="27"/>
      <c r="AD44" s="27"/>
      <c r="AE44" s="27"/>
      <c r="AF44" s="28"/>
    </row>
    <row r="45" spans="1:32">
      <c r="C45" s="21">
        <f>SUM(C23:C34)</f>
        <v>66.365467625899271</v>
      </c>
      <c r="R45" s="21">
        <f>SUM(R23:R34)</f>
        <v>10597</v>
      </c>
      <c r="Z45" s="26" t="s">
        <v>104</v>
      </c>
      <c r="AA45" s="27"/>
      <c r="AB45" s="40">
        <f>SUM(AB17:AB34)</f>
        <v>20222.184626058901</v>
      </c>
      <c r="AC45" s="40">
        <f>SUM(AC17:AC34)</f>
        <v>55425.46942573291</v>
      </c>
      <c r="AD45" s="27"/>
      <c r="AE45" s="40">
        <f>SUM(AE17:AE34)</f>
        <v>69.018316128739031</v>
      </c>
      <c r="AF45" s="43">
        <f>SUM(AF17:AF34)</f>
        <v>189.1671271500264</v>
      </c>
    </row>
    <row r="46" spans="1:32">
      <c r="Z46" s="26"/>
      <c r="AA46" s="27"/>
      <c r="AB46" s="27"/>
      <c r="AC46" s="27"/>
      <c r="AD46" s="27"/>
      <c r="AE46" s="27"/>
      <c r="AF46" s="28"/>
    </row>
    <row r="47" spans="1:32">
      <c r="A47" s="12" t="s">
        <v>134</v>
      </c>
      <c r="E47" s="21">
        <f>SUM(E23:E34)</f>
        <v>6.1430581890992819</v>
      </c>
      <c r="L47" s="21">
        <f>SUM(L23:L34)</f>
        <v>2.79</v>
      </c>
      <c r="X47" s="21">
        <f>SUM(X23:X34)</f>
        <v>120.79965374</v>
      </c>
      <c r="Z47" s="26" t="s">
        <v>105</v>
      </c>
      <c r="AA47" s="27"/>
      <c r="AB47" s="40">
        <f>SUM(AB23:AB34)</f>
        <v>13196.541702546549</v>
      </c>
      <c r="AC47" s="40">
        <f>SUM(AC23:AC34)</f>
        <v>38011.342493143646</v>
      </c>
      <c r="AD47" s="27"/>
      <c r="AE47" s="40">
        <f>SUM(AE23:AE34)</f>
        <v>45.039796830791367</v>
      </c>
      <c r="AF47" s="43">
        <f>SUM(AF23:AF34)</f>
        <v>129.73271192909925</v>
      </c>
    </row>
    <row r="48" spans="1:32">
      <c r="Z48" s="26"/>
      <c r="AA48" s="27"/>
      <c r="AB48" s="27"/>
      <c r="AC48" s="27"/>
      <c r="AD48" s="27"/>
      <c r="AE48" s="27"/>
      <c r="AF48" s="28"/>
    </row>
    <row r="49" spans="26:32">
      <c r="Z49" s="44" t="s">
        <v>106</v>
      </c>
      <c r="AA49" s="29"/>
      <c r="AB49" s="45">
        <f>SUM(AB29:AB34)</f>
        <v>6229.6030959219797</v>
      </c>
      <c r="AC49" s="45">
        <f>SUM(AC29:AC34)</f>
        <v>18430.804251405076</v>
      </c>
      <c r="AD49" s="29"/>
      <c r="AE49" s="45">
        <f>SUM(AE29:AE34)</f>
        <v>21.261635366381718</v>
      </c>
      <c r="AF49" s="46">
        <f>SUM(AF29:AF34)</f>
        <v>62.904334910045527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1"/>
  <sheetViews>
    <sheetView topLeftCell="A4" workbookViewId="0">
      <selection activeCell="B31" sqref="B31"/>
    </sheetView>
  </sheetViews>
  <sheetFormatPr defaultRowHeight="15"/>
  <cols>
    <col min="1" max="1" width="13.140625" bestFit="1" customWidth="1"/>
  </cols>
  <sheetData>
    <row r="1" spans="1:3">
      <c r="A1" s="12" t="s">
        <v>6</v>
      </c>
      <c r="B1" s="12" t="s">
        <v>7</v>
      </c>
      <c r="C1" s="12"/>
    </row>
    <row r="2" spans="1:3">
      <c r="A2" s="12" t="s">
        <v>8</v>
      </c>
      <c r="B2" s="12" t="s">
        <v>9</v>
      </c>
      <c r="C2" s="12"/>
    </row>
    <row r="3" spans="1:3">
      <c r="A3" s="12" t="s">
        <v>10</v>
      </c>
      <c r="B3" s="12" t="s">
        <v>11</v>
      </c>
      <c r="C3" s="12"/>
    </row>
    <row r="4" spans="1:3">
      <c r="A4" s="12" t="s">
        <v>12</v>
      </c>
      <c r="B4" s="12" t="s">
        <v>37</v>
      </c>
      <c r="C4" s="12"/>
    </row>
    <row r="5" spans="1:3">
      <c r="A5" s="12" t="s">
        <v>13</v>
      </c>
      <c r="B5" s="12" t="s">
        <v>38</v>
      </c>
      <c r="C5" s="12"/>
    </row>
    <row r="6" spans="1:3">
      <c r="A6" s="12"/>
      <c r="B6" s="12"/>
      <c r="C6" s="12"/>
    </row>
    <row r="7" spans="1:3">
      <c r="A7" s="12" t="s">
        <v>14</v>
      </c>
      <c r="B7" s="12" t="s">
        <v>0</v>
      </c>
      <c r="C7" s="12" t="s">
        <v>15</v>
      </c>
    </row>
    <row r="8" spans="1:3" s="11" customFormat="1">
      <c r="A8" s="13">
        <v>40391</v>
      </c>
      <c r="B8" s="12">
        <v>38</v>
      </c>
      <c r="C8" s="12">
        <v>0.2</v>
      </c>
    </row>
    <row r="9" spans="1:3" s="8" customFormat="1">
      <c r="A9" s="13">
        <v>40422</v>
      </c>
      <c r="B9" s="12">
        <v>127</v>
      </c>
      <c r="C9" s="12">
        <v>0</v>
      </c>
    </row>
    <row r="10" spans="1:3">
      <c r="A10" s="13">
        <v>40452</v>
      </c>
      <c r="B10" s="12">
        <v>465</v>
      </c>
      <c r="C10" s="12">
        <v>0.2</v>
      </c>
    </row>
    <row r="11" spans="1:3">
      <c r="A11" s="13">
        <v>40483</v>
      </c>
      <c r="B11" s="12">
        <v>741</v>
      </c>
      <c r="C11" s="12">
        <v>0.1</v>
      </c>
    </row>
    <row r="12" spans="1:3">
      <c r="A12" s="13">
        <v>40513</v>
      </c>
      <c r="B12" s="12">
        <v>1185</v>
      </c>
      <c r="C12" s="12">
        <v>0.3</v>
      </c>
    </row>
    <row r="13" spans="1:3">
      <c r="A13" s="13">
        <v>40544</v>
      </c>
      <c r="B13" s="12">
        <v>1326</v>
      </c>
      <c r="C13" s="12">
        <v>0.03</v>
      </c>
    </row>
    <row r="14" spans="1:3">
      <c r="A14" s="13">
        <v>40575</v>
      </c>
      <c r="B14" s="12">
        <v>1103</v>
      </c>
      <c r="C14" s="12">
        <v>7.0000000000000007E-2</v>
      </c>
    </row>
    <row r="15" spans="1:3">
      <c r="A15" s="13">
        <v>40603</v>
      </c>
      <c r="B15" s="12">
        <v>960</v>
      </c>
      <c r="C15" s="12">
        <v>0</v>
      </c>
    </row>
    <row r="16" spans="1:3">
      <c r="A16" s="13">
        <v>40634</v>
      </c>
      <c r="B16" s="12">
        <v>542</v>
      </c>
      <c r="C16" s="12">
        <v>0.03</v>
      </c>
    </row>
    <row r="17" spans="1:3">
      <c r="A17" s="13">
        <v>40664</v>
      </c>
      <c r="B17" s="12">
        <v>284</v>
      </c>
      <c r="C17" s="12">
        <v>0.03</v>
      </c>
    </row>
    <row r="18" spans="1:3">
      <c r="A18" s="13">
        <v>40695</v>
      </c>
      <c r="B18" s="12">
        <v>113</v>
      </c>
      <c r="C18" s="12">
        <v>0</v>
      </c>
    </row>
    <row r="19" spans="1:3">
      <c r="A19" s="13">
        <v>40725</v>
      </c>
      <c r="B19" s="12">
        <v>11</v>
      </c>
      <c r="C19" s="12">
        <v>0.03</v>
      </c>
    </row>
    <row r="20" spans="1:3">
      <c r="A20" s="13">
        <v>40756</v>
      </c>
      <c r="B20" s="12">
        <v>28</v>
      </c>
      <c r="C20" s="12">
        <v>0</v>
      </c>
    </row>
    <row r="21" spans="1:3">
      <c r="A21" s="13">
        <v>40787</v>
      </c>
      <c r="B21" s="12">
        <v>114</v>
      </c>
      <c r="C21" s="12">
        <v>0.2</v>
      </c>
    </row>
    <row r="22" spans="1:3">
      <c r="A22" s="13">
        <v>40817</v>
      </c>
      <c r="B22" s="12">
        <v>438</v>
      </c>
      <c r="C22" s="12">
        <v>3</v>
      </c>
    </row>
    <row r="23" spans="1:3">
      <c r="A23" s="13">
        <v>40848</v>
      </c>
      <c r="B23" s="12">
        <v>556</v>
      </c>
      <c r="C23" s="12">
        <v>0.03</v>
      </c>
    </row>
    <row r="24" spans="1:3">
      <c r="A24" s="13">
        <v>40878</v>
      </c>
      <c r="B24" s="12">
        <v>897</v>
      </c>
      <c r="C24" s="12">
        <v>0</v>
      </c>
    </row>
    <row r="25" spans="1:3">
      <c r="A25" s="13">
        <v>40909</v>
      </c>
      <c r="B25" s="12">
        <v>1116</v>
      </c>
      <c r="C25" s="12">
        <v>0</v>
      </c>
    </row>
    <row r="26" spans="1:3">
      <c r="A26" s="13">
        <v>40940</v>
      </c>
      <c r="B26" s="12">
        <v>926</v>
      </c>
      <c r="C26" s="12">
        <v>0.03</v>
      </c>
    </row>
    <row r="27" spans="1:3">
      <c r="A27" s="13">
        <v>40969</v>
      </c>
      <c r="B27" s="12">
        <v>675</v>
      </c>
      <c r="C27" s="12">
        <v>0</v>
      </c>
    </row>
    <row r="28" spans="1:3">
      <c r="A28" s="13">
        <v>41000</v>
      </c>
      <c r="B28" s="12">
        <v>499</v>
      </c>
      <c r="C28" s="12">
        <v>7.0000000000000007E-2</v>
      </c>
    </row>
    <row r="29" spans="1:3">
      <c r="A29" s="13">
        <v>41030</v>
      </c>
      <c r="B29" s="12">
        <v>203</v>
      </c>
      <c r="C29" s="12">
        <v>0.03</v>
      </c>
    </row>
    <row r="30" spans="1:3">
      <c r="A30" s="13">
        <v>41061</v>
      </c>
      <c r="B30" s="12">
        <v>122</v>
      </c>
      <c r="C30" s="12">
        <v>0.03</v>
      </c>
    </row>
    <row r="31" spans="1:3">
      <c r="A31" s="13">
        <v>41091</v>
      </c>
      <c r="B31" s="12">
        <v>10</v>
      </c>
      <c r="C31" s="12">
        <v>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D31" sqref="D31"/>
    </sheetView>
  </sheetViews>
  <sheetFormatPr defaultRowHeight="15"/>
  <cols>
    <col min="1" max="1" width="13.140625" bestFit="1" customWidth="1"/>
  </cols>
  <sheetData>
    <row r="1" spans="1:3">
      <c r="A1" s="12" t="s">
        <v>6</v>
      </c>
      <c r="B1" s="12" t="s">
        <v>16</v>
      </c>
      <c r="C1" s="12"/>
    </row>
    <row r="2" spans="1:3">
      <c r="A2" s="12" t="s">
        <v>8</v>
      </c>
      <c r="B2" s="12" t="s">
        <v>9</v>
      </c>
      <c r="C2" s="12"/>
    </row>
    <row r="3" spans="1:3">
      <c r="A3" s="12" t="s">
        <v>10</v>
      </c>
      <c r="B3" s="12" t="s">
        <v>11</v>
      </c>
      <c r="C3" s="12"/>
    </row>
    <row r="4" spans="1:3">
      <c r="A4" s="12" t="s">
        <v>12</v>
      </c>
      <c r="B4" s="12" t="s">
        <v>37</v>
      </c>
      <c r="C4" s="12"/>
    </row>
    <row r="5" spans="1:3">
      <c r="A5" s="12" t="s">
        <v>13</v>
      </c>
      <c r="B5" s="12" t="s">
        <v>38</v>
      </c>
      <c r="C5" s="12"/>
    </row>
    <row r="6" spans="1:3">
      <c r="A6" s="12"/>
      <c r="B6" s="12"/>
      <c r="C6" s="12"/>
    </row>
    <row r="7" spans="1:3">
      <c r="A7" s="12" t="s">
        <v>14</v>
      </c>
      <c r="B7" s="12" t="s">
        <v>5</v>
      </c>
      <c r="C7" s="12" t="s">
        <v>15</v>
      </c>
    </row>
    <row r="8" spans="1:3" s="10" customFormat="1">
      <c r="A8" s="13">
        <v>40391</v>
      </c>
      <c r="B8" s="12">
        <v>187</v>
      </c>
      <c r="C8" s="12">
        <v>0.2</v>
      </c>
    </row>
    <row r="9" spans="1:3" s="9" customFormat="1">
      <c r="A9" s="13">
        <v>40422</v>
      </c>
      <c r="B9" s="12">
        <v>91</v>
      </c>
      <c r="C9" s="12">
        <v>0</v>
      </c>
    </row>
    <row r="10" spans="1:3">
      <c r="A10" s="13">
        <v>40452</v>
      </c>
      <c r="B10" s="12">
        <v>6</v>
      </c>
      <c r="C10" s="12">
        <v>0.2</v>
      </c>
    </row>
    <row r="11" spans="1:3">
      <c r="A11" s="13">
        <v>40483</v>
      </c>
      <c r="B11" s="12">
        <v>0</v>
      </c>
      <c r="C11" s="12">
        <v>0.1</v>
      </c>
    </row>
    <row r="12" spans="1:3">
      <c r="A12" s="13">
        <v>40513</v>
      </c>
      <c r="B12" s="12">
        <v>0</v>
      </c>
      <c r="C12" s="12">
        <v>0.3</v>
      </c>
    </row>
    <row r="13" spans="1:3">
      <c r="A13" s="13">
        <v>40544</v>
      </c>
      <c r="B13" s="12">
        <v>0</v>
      </c>
      <c r="C13" s="12">
        <v>0.03</v>
      </c>
    </row>
    <row r="14" spans="1:3">
      <c r="A14" s="13">
        <v>40575</v>
      </c>
      <c r="B14" s="12">
        <v>0</v>
      </c>
      <c r="C14" s="12">
        <v>7.0000000000000007E-2</v>
      </c>
    </row>
    <row r="15" spans="1:3">
      <c r="A15" s="13">
        <v>40603</v>
      </c>
      <c r="B15" s="12">
        <v>0</v>
      </c>
      <c r="C15" s="12">
        <v>0</v>
      </c>
    </row>
    <row r="16" spans="1:3">
      <c r="A16" s="13">
        <v>40634</v>
      </c>
      <c r="B16" s="12">
        <v>6</v>
      </c>
      <c r="C16" s="12">
        <v>0.03</v>
      </c>
    </row>
    <row r="17" spans="1:3">
      <c r="A17" s="13">
        <v>40664</v>
      </c>
      <c r="B17" s="12">
        <v>51</v>
      </c>
      <c r="C17" s="12">
        <v>0.03</v>
      </c>
    </row>
    <row r="18" spans="1:3">
      <c r="A18" s="13">
        <v>40695</v>
      </c>
      <c r="B18" s="12">
        <v>97</v>
      </c>
      <c r="C18" s="12">
        <v>0</v>
      </c>
    </row>
    <row r="19" spans="1:3">
      <c r="A19" s="13">
        <v>40725</v>
      </c>
      <c r="B19" s="12">
        <v>260</v>
      </c>
      <c r="C19" s="12">
        <v>0.03</v>
      </c>
    </row>
    <row r="20" spans="1:3">
      <c r="A20" s="13">
        <v>40756</v>
      </c>
      <c r="B20" s="12">
        <v>152</v>
      </c>
      <c r="C20" s="12">
        <v>0</v>
      </c>
    </row>
    <row r="21" spans="1:3">
      <c r="A21" s="13">
        <v>40787</v>
      </c>
      <c r="B21" s="12">
        <v>81</v>
      </c>
      <c r="C21" s="12">
        <v>0.2</v>
      </c>
    </row>
    <row r="22" spans="1:3">
      <c r="A22" s="13">
        <v>40817</v>
      </c>
      <c r="B22" s="12">
        <v>13</v>
      </c>
      <c r="C22" s="12">
        <v>3</v>
      </c>
    </row>
    <row r="23" spans="1:3">
      <c r="A23" s="13">
        <v>40848</v>
      </c>
      <c r="B23" s="12">
        <v>0</v>
      </c>
      <c r="C23" s="12">
        <v>0.03</v>
      </c>
    </row>
    <row r="24" spans="1:3">
      <c r="A24" s="13">
        <v>40878</v>
      </c>
      <c r="B24" s="12">
        <v>0</v>
      </c>
      <c r="C24" s="12">
        <v>0</v>
      </c>
    </row>
    <row r="25" spans="1:3">
      <c r="A25" s="13">
        <v>40909</v>
      </c>
      <c r="B25" s="12">
        <v>0</v>
      </c>
      <c r="C25" s="12">
        <v>0</v>
      </c>
    </row>
    <row r="26" spans="1:3">
      <c r="A26" s="13">
        <v>40940</v>
      </c>
      <c r="B26" s="12">
        <v>0</v>
      </c>
      <c r="C26" s="12">
        <v>0.03</v>
      </c>
    </row>
    <row r="27" spans="1:3">
      <c r="A27" s="13">
        <v>40969</v>
      </c>
      <c r="B27" s="12">
        <v>15</v>
      </c>
      <c r="C27" s="12">
        <v>0</v>
      </c>
    </row>
    <row r="28" spans="1:3">
      <c r="A28" s="13">
        <v>41000</v>
      </c>
      <c r="B28" s="12">
        <v>18</v>
      </c>
      <c r="C28" s="12">
        <v>7.0000000000000007E-2</v>
      </c>
    </row>
    <row r="29" spans="1:3">
      <c r="A29" s="13">
        <v>41030</v>
      </c>
      <c r="B29" s="12">
        <v>60</v>
      </c>
      <c r="C29" s="12">
        <v>0.03</v>
      </c>
    </row>
    <row r="30" spans="1:3">
      <c r="A30" s="13">
        <v>41061</v>
      </c>
      <c r="B30" s="12">
        <v>107</v>
      </c>
      <c r="C30" s="12">
        <v>0.03</v>
      </c>
    </row>
    <row r="31" spans="1:3">
      <c r="A31" s="13">
        <v>41091</v>
      </c>
      <c r="B31" s="12">
        <v>254</v>
      </c>
      <c r="C31" s="12">
        <v>0.2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4"/>
  <sheetViews>
    <sheetView topLeftCell="A3" workbookViewId="0">
      <selection activeCell="D8" sqref="D8"/>
    </sheetView>
  </sheetViews>
  <sheetFormatPr defaultRowHeight="15"/>
  <cols>
    <col min="4" max="5" width="9.140625" style="12"/>
  </cols>
  <sheetData>
    <row r="1" spans="1:16">
      <c r="A1" s="12" t="s">
        <v>109</v>
      </c>
      <c r="B1" s="12"/>
      <c r="C1" s="12"/>
      <c r="F1" s="12"/>
      <c r="G1" s="12"/>
      <c r="H1" s="12"/>
      <c r="I1" s="12"/>
      <c r="J1" s="12"/>
      <c r="K1" s="12"/>
      <c r="L1" s="12"/>
      <c r="M1" s="12"/>
      <c r="N1" s="12"/>
    </row>
    <row r="2" spans="1:16">
      <c r="A2" s="12"/>
      <c r="B2" s="12"/>
      <c r="C2" s="12"/>
      <c r="F2" s="12"/>
      <c r="G2" s="12"/>
      <c r="H2" s="12"/>
      <c r="I2" s="12"/>
      <c r="J2" s="12"/>
      <c r="K2" s="12"/>
      <c r="L2" s="12"/>
      <c r="M2" s="12"/>
      <c r="N2" s="12"/>
    </row>
    <row r="3" spans="1:16">
      <c r="A3" s="12"/>
      <c r="B3" s="12"/>
      <c r="C3" s="12"/>
      <c r="F3" s="12"/>
      <c r="G3" s="12"/>
      <c r="H3" s="12"/>
      <c r="I3" s="12"/>
      <c r="J3" s="12"/>
      <c r="K3" s="12"/>
      <c r="L3" s="12"/>
      <c r="M3" s="12"/>
      <c r="N3" s="12"/>
    </row>
    <row r="4" spans="1:16">
      <c r="A4" s="12"/>
      <c r="B4" s="12"/>
      <c r="C4" s="12" t="s">
        <v>118</v>
      </c>
      <c r="F4" s="12" t="str">
        <f>HDD!B4</f>
        <v>WORCESTER REGIONAL AIRPORT, MA, US (71.88W,42.27N)</v>
      </c>
      <c r="G4" s="12"/>
      <c r="H4" s="12"/>
      <c r="I4" s="12"/>
      <c r="J4" s="70" t="s">
        <v>117</v>
      </c>
      <c r="K4" s="70"/>
      <c r="L4" s="70"/>
      <c r="M4" s="12"/>
      <c r="N4" s="12"/>
    </row>
    <row r="5" spans="1:16" ht="51.75">
      <c r="A5" s="12" t="s">
        <v>110</v>
      </c>
      <c r="B5" s="12" t="s">
        <v>111</v>
      </c>
      <c r="C5" s="12" t="s">
        <v>34</v>
      </c>
      <c r="F5" s="12" t="s">
        <v>112</v>
      </c>
      <c r="G5" s="12" t="s">
        <v>113</v>
      </c>
      <c r="H5" s="12" t="s">
        <v>114</v>
      </c>
      <c r="I5" s="12"/>
      <c r="J5" s="63"/>
      <c r="K5" s="63" t="s">
        <v>115</v>
      </c>
      <c r="L5" s="63" t="s">
        <v>116</v>
      </c>
      <c r="M5" s="65" t="s">
        <v>122</v>
      </c>
      <c r="N5" s="65" t="s">
        <v>121</v>
      </c>
      <c r="P5" s="65" t="s">
        <v>123</v>
      </c>
    </row>
    <row r="6" spans="1:16">
      <c r="A6" s="12"/>
      <c r="B6" s="12"/>
      <c r="C6" s="12"/>
      <c r="D6" s="12" t="s">
        <v>72</v>
      </c>
      <c r="E6" s="12" t="s">
        <v>119</v>
      </c>
      <c r="F6" s="12"/>
      <c r="G6" s="12"/>
      <c r="H6" s="12"/>
      <c r="I6" s="12"/>
      <c r="J6" s="12"/>
      <c r="K6" s="12"/>
      <c r="L6" s="12"/>
      <c r="M6" s="12"/>
      <c r="N6" s="12"/>
    </row>
    <row r="7" spans="1:16">
      <c r="A7" s="12"/>
      <c r="B7" s="12"/>
      <c r="C7" s="12"/>
      <c r="F7" s="12"/>
      <c r="G7" s="12"/>
      <c r="H7" s="12"/>
      <c r="I7" s="12"/>
      <c r="J7" s="12"/>
      <c r="K7" s="12"/>
      <c r="L7" s="12"/>
      <c r="M7" s="12"/>
      <c r="N7" s="12"/>
    </row>
    <row r="8" spans="1:16">
      <c r="A8" s="62">
        <f>'Energy Use'!B22</f>
        <v>40735</v>
      </c>
      <c r="B8" s="12"/>
      <c r="C8" s="21"/>
      <c r="D8" s="21">
        <f>'Energy Use'!W22</f>
        <v>1.46759</v>
      </c>
      <c r="E8" s="21">
        <f>'Energy Use'!D22</f>
        <v>0.2289211994244604</v>
      </c>
      <c r="F8" s="12">
        <f>CDD!B19</f>
        <v>260</v>
      </c>
      <c r="G8" s="12">
        <f>HDD!B19</f>
        <v>11</v>
      </c>
      <c r="H8" s="12"/>
      <c r="I8" s="12"/>
      <c r="J8" s="12"/>
      <c r="K8" s="12">
        <v>180</v>
      </c>
      <c r="L8" s="12">
        <v>11</v>
      </c>
      <c r="M8" s="12"/>
      <c r="N8" s="12"/>
    </row>
    <row r="9" spans="1:16">
      <c r="A9" s="62">
        <f>'Energy Use'!B23</f>
        <v>40766</v>
      </c>
      <c r="B9" s="12"/>
      <c r="C9" s="21"/>
      <c r="D9" s="21">
        <f>'Energy Use'!W23</f>
        <v>2.6519010000000001</v>
      </c>
      <c r="E9" s="21">
        <f>'Energy Use'!D23</f>
        <v>0.4022862371973725</v>
      </c>
      <c r="F9" s="12">
        <f>CDD!B20</f>
        <v>152</v>
      </c>
      <c r="G9" s="12">
        <f>HDD!B20</f>
        <v>28</v>
      </c>
      <c r="H9" s="12"/>
      <c r="I9" s="12"/>
      <c r="J9" s="12"/>
      <c r="K9" s="12">
        <v>87</v>
      </c>
      <c r="L9" s="12">
        <v>57</v>
      </c>
      <c r="M9" s="21">
        <f>0.0027*L9+1.7391</f>
        <v>1.893</v>
      </c>
      <c r="N9" s="21">
        <f>M9+E9</f>
        <v>2.2952862371973723</v>
      </c>
      <c r="P9" s="21">
        <f>M9*'Energy Use'!$E$6+E9*'Energy Use'!$E$8</f>
        <v>6.7289290995693456</v>
      </c>
    </row>
    <row r="10" spans="1:16">
      <c r="A10" s="62">
        <f>'Energy Use'!B24</f>
        <v>40797</v>
      </c>
      <c r="B10" s="12"/>
      <c r="C10" s="21"/>
      <c r="D10" s="21">
        <f>'Energy Use'!W24</f>
        <v>1.907867</v>
      </c>
      <c r="E10" s="21">
        <f>'Energy Use'!D24</f>
        <v>0.62160980869565219</v>
      </c>
      <c r="F10" s="12">
        <f>CDD!B21</f>
        <v>81</v>
      </c>
      <c r="G10" s="12">
        <f>HDD!B21</f>
        <v>114</v>
      </c>
      <c r="H10" s="12"/>
      <c r="I10" s="12"/>
      <c r="J10" s="12"/>
      <c r="K10" s="12">
        <v>8</v>
      </c>
      <c r="L10" s="12">
        <v>179</v>
      </c>
      <c r="M10" s="21">
        <f t="shared" ref="M10:M20" si="0">0.0027*L10+1.7391</f>
        <v>2.2223999999999999</v>
      </c>
      <c r="N10" s="21">
        <f t="shared" ref="N10:N20" si="1">M10+E10</f>
        <v>2.844009808695652</v>
      </c>
      <c r="P10" s="21">
        <f>M10*'Energy Use'!$E$6+E10*'Energy Use'!$E$8</f>
        <v>8.0506419067826087</v>
      </c>
    </row>
    <row r="11" spans="1:16">
      <c r="A11" s="62">
        <f>'Energy Use'!B25</f>
        <v>40827</v>
      </c>
      <c r="B11" s="12"/>
      <c r="C11" s="21"/>
      <c r="D11" s="21">
        <f>'Energy Use'!W25</f>
        <v>2.0716909999999999</v>
      </c>
      <c r="E11" s="21">
        <f>'Energy Use'!D25</f>
        <v>0.64233013565217389</v>
      </c>
      <c r="F11" s="12">
        <f>CDD!B22</f>
        <v>13</v>
      </c>
      <c r="G11" s="12">
        <f>HDD!B22</f>
        <v>438</v>
      </c>
      <c r="H11" s="12"/>
      <c r="I11" s="12"/>
      <c r="J11" s="12"/>
      <c r="K11" s="12">
        <v>2</v>
      </c>
      <c r="L11" s="12">
        <v>477</v>
      </c>
      <c r="M11" s="21">
        <f t="shared" si="0"/>
        <v>3.0270000000000001</v>
      </c>
      <c r="N11" s="21">
        <f t="shared" si="1"/>
        <v>3.6693301356521739</v>
      </c>
      <c r="P11" s="21">
        <f>M11*'Energy Use'!$E$6+E11*'Energy Use'!$E$8</f>
        <v>10.758933437008695</v>
      </c>
    </row>
    <row r="12" spans="1:16">
      <c r="A12" s="62">
        <f>'Energy Use'!B26</f>
        <v>40858</v>
      </c>
      <c r="B12" s="12"/>
      <c r="C12" s="21"/>
      <c r="D12" s="21">
        <f>'Energy Use'!W26</f>
        <v>2.2867099999999998</v>
      </c>
      <c r="E12" s="21">
        <f>'Energy Use'!D26</f>
        <v>0.62160980869565219</v>
      </c>
      <c r="F12" s="12">
        <f>CDD!B23</f>
        <v>0</v>
      </c>
      <c r="G12" s="12">
        <f>HDD!B23</f>
        <v>556</v>
      </c>
      <c r="H12" s="12"/>
      <c r="I12" s="12"/>
      <c r="J12" s="12"/>
      <c r="K12" s="12">
        <v>0</v>
      </c>
      <c r="L12" s="12">
        <v>790</v>
      </c>
      <c r="M12" s="21">
        <f t="shared" si="0"/>
        <v>3.8721000000000001</v>
      </c>
      <c r="N12" s="21">
        <f t="shared" si="1"/>
        <v>4.4937098086956526</v>
      </c>
      <c r="P12" s="21">
        <f>M12*'Energy Use'!$E$6+E12*'Energy Use'!$E$8</f>
        <v>13.56063990678261</v>
      </c>
    </row>
    <row r="13" spans="1:16">
      <c r="A13" s="62">
        <f>'Energy Use'!B27</f>
        <v>40888</v>
      </c>
      <c r="B13" s="12"/>
      <c r="C13" s="21"/>
      <c r="D13" s="21">
        <f>'Energy Use'!W27</f>
        <v>3.9522539999999999</v>
      </c>
      <c r="E13" s="21">
        <f>'Energy Use'!D27</f>
        <v>0.64233013565217389</v>
      </c>
      <c r="F13" s="12">
        <f>CDD!B24</f>
        <v>0</v>
      </c>
      <c r="G13" s="12">
        <f>HDD!B24</f>
        <v>897</v>
      </c>
      <c r="H13" s="12"/>
      <c r="I13" s="12"/>
      <c r="J13" s="12"/>
      <c r="K13" s="12">
        <v>0</v>
      </c>
      <c r="L13" s="12">
        <v>1119</v>
      </c>
      <c r="M13" s="21">
        <f t="shared" si="0"/>
        <v>4.7604000000000006</v>
      </c>
      <c r="N13" s="21">
        <f t="shared" si="1"/>
        <v>5.4027301356521749</v>
      </c>
      <c r="P13" s="21">
        <f>M13*'Energy Use'!$E$6+E13*'Energy Use'!$E$8</f>
        <v>16.548489437008698</v>
      </c>
    </row>
    <row r="14" spans="1:16">
      <c r="A14" s="62">
        <f>'Energy Use'!B28</f>
        <v>40920</v>
      </c>
      <c r="B14" s="12"/>
      <c r="C14" s="21"/>
      <c r="D14" s="21">
        <f>'Energy Use'!W28</f>
        <v>5.5119949999999998</v>
      </c>
      <c r="E14" s="21">
        <f>'Energy Use'!D28</f>
        <v>0.60557733851662399</v>
      </c>
      <c r="F14" s="12">
        <f>CDD!B25</f>
        <v>0</v>
      </c>
      <c r="G14" s="12">
        <f>HDD!B25</f>
        <v>1116</v>
      </c>
      <c r="H14" s="12"/>
      <c r="I14" s="12"/>
      <c r="J14" s="12"/>
      <c r="K14" s="12">
        <v>0</v>
      </c>
      <c r="L14" s="12">
        <v>1403</v>
      </c>
      <c r="M14" s="21">
        <f t="shared" si="0"/>
        <v>5.5272000000000006</v>
      </c>
      <c r="N14" s="21">
        <f t="shared" si="1"/>
        <v>6.1327773385166244</v>
      </c>
      <c r="P14" s="21">
        <f>M14*'Energy Use'!$E$6+E14*'Energy Use'!$E$8</f>
        <v>19.072481111901791</v>
      </c>
    </row>
    <row r="15" spans="1:16">
      <c r="A15" s="62">
        <f>'Energy Use'!B29</f>
        <v>40940</v>
      </c>
      <c r="B15" s="12"/>
      <c r="C15" s="21"/>
      <c r="D15" s="21">
        <f>'Energy Use'!W29</f>
        <v>5.600733</v>
      </c>
      <c r="E15" s="21">
        <f>'Energy Use'!D29</f>
        <v>0.5628240847058823</v>
      </c>
      <c r="F15" s="12">
        <f>CDD!B26</f>
        <v>0</v>
      </c>
      <c r="G15" s="12">
        <f>HDD!B26</f>
        <v>926</v>
      </c>
      <c r="H15" s="12"/>
      <c r="I15" s="12"/>
      <c r="J15" s="12"/>
      <c r="K15" s="12">
        <v>0</v>
      </c>
      <c r="L15" s="12">
        <v>1114</v>
      </c>
      <c r="M15" s="21">
        <f t="shared" si="0"/>
        <v>4.7469000000000001</v>
      </c>
      <c r="N15" s="21">
        <f t="shared" si="1"/>
        <v>5.3097240847058824</v>
      </c>
      <c r="P15" s="21">
        <f>M15*'Energy Use'!$E$6+E15*'Energy Use'!$E$8</f>
        <v>16.423098325552939</v>
      </c>
    </row>
    <row r="16" spans="1:16">
      <c r="A16" s="62">
        <f>'Energy Use'!B30</f>
        <v>40969</v>
      </c>
      <c r="B16" s="12"/>
      <c r="C16" s="21"/>
      <c r="D16" s="21">
        <f>'Energy Use'!W30</f>
        <v>3.3549789999999997</v>
      </c>
      <c r="E16" s="21">
        <f>'Energy Use'!D30</f>
        <v>0.60163953882352939</v>
      </c>
      <c r="F16" s="12">
        <f>CDD!B27</f>
        <v>15</v>
      </c>
      <c r="G16" s="12">
        <f>HDD!B27</f>
        <v>675</v>
      </c>
      <c r="H16" s="12"/>
      <c r="I16" s="12"/>
      <c r="J16" s="12"/>
      <c r="K16" s="12">
        <v>0</v>
      </c>
      <c r="L16" s="12">
        <v>1008</v>
      </c>
      <c r="M16" s="21">
        <f t="shared" si="0"/>
        <v>4.4607000000000001</v>
      </c>
      <c r="N16" s="21">
        <f t="shared" si="1"/>
        <v>5.0623395388235295</v>
      </c>
      <c r="P16" s="21">
        <f>M16*'Energy Use'!$E$6+E16*'Energy Use'!$E$8</f>
        <v>15.506393934211765</v>
      </c>
    </row>
    <row r="17" spans="1:16">
      <c r="A17" s="62">
        <f>'Energy Use'!B31</f>
        <v>41000</v>
      </c>
      <c r="B17" s="12"/>
      <c r="C17" s="21"/>
      <c r="D17" s="21">
        <f>'Energy Use'!W31</f>
        <v>1.7133259999999999</v>
      </c>
      <c r="E17" s="21">
        <f>'Energy Use'!D31</f>
        <v>0.58223181176470584</v>
      </c>
      <c r="F17" s="12">
        <f>CDD!B28</f>
        <v>18</v>
      </c>
      <c r="G17" s="12">
        <f>HDD!B28</f>
        <v>499</v>
      </c>
      <c r="H17" s="12"/>
      <c r="I17" s="12"/>
      <c r="J17" s="12"/>
      <c r="K17" s="12">
        <v>11</v>
      </c>
      <c r="L17" s="12">
        <v>650</v>
      </c>
      <c r="M17" s="21">
        <f t="shared" si="0"/>
        <v>3.4941000000000004</v>
      </c>
      <c r="N17" s="21">
        <f t="shared" si="1"/>
        <v>4.0763318117647067</v>
      </c>
      <c r="P17" s="21">
        <f>M17*'Energy Use'!$E$6+E17*'Energy Use'!$E$8</f>
        <v>12.258348129882354</v>
      </c>
    </row>
    <row r="18" spans="1:16">
      <c r="A18" s="62">
        <f>'Energy Use'!B32</f>
        <v>41030</v>
      </c>
      <c r="B18" s="12"/>
      <c r="C18" s="21"/>
      <c r="D18" s="21">
        <f>'Energy Use'!W32</f>
        <v>1.996605</v>
      </c>
      <c r="E18" s="21">
        <f>'Energy Use'!D32</f>
        <v>0.34933908705882349</v>
      </c>
      <c r="F18" s="12">
        <f>CDD!B29</f>
        <v>60</v>
      </c>
      <c r="G18" s="12">
        <f>HDD!B29</f>
        <v>203</v>
      </c>
      <c r="H18" s="12"/>
      <c r="I18" s="12"/>
      <c r="J18" s="12"/>
      <c r="K18" s="12">
        <v>12</v>
      </c>
      <c r="L18" s="12">
        <v>238</v>
      </c>
      <c r="M18" s="21">
        <f t="shared" si="0"/>
        <v>2.3817000000000004</v>
      </c>
      <c r="N18" s="21">
        <f t="shared" si="1"/>
        <v>2.7310390870588237</v>
      </c>
      <c r="P18" s="21">
        <f>M18*'Energy Use'!$E$6+E18*'Energy Use'!$E$8</f>
        <v>8.3077104779294118</v>
      </c>
    </row>
    <row r="19" spans="1:16">
      <c r="A19" s="62">
        <f>'Energy Use'!B33</f>
        <v>41061</v>
      </c>
      <c r="B19" s="12"/>
      <c r="C19" s="21"/>
      <c r="D19" s="21">
        <f>'Energy Use'!W33</f>
        <v>2.1604289999999997</v>
      </c>
      <c r="E19" s="21">
        <f>'Energy Use'!D33</f>
        <v>0.22153664460431649</v>
      </c>
      <c r="F19" s="12">
        <f>CDD!B30</f>
        <v>107</v>
      </c>
      <c r="G19" s="12">
        <f>HDD!B30</f>
        <v>122</v>
      </c>
      <c r="H19" s="12"/>
      <c r="I19" s="12"/>
      <c r="J19" s="12"/>
      <c r="K19" s="12">
        <v>34</v>
      </c>
      <c r="L19" s="12">
        <v>69</v>
      </c>
      <c r="M19" s="21">
        <f t="shared" si="0"/>
        <v>1.9254000000000002</v>
      </c>
      <c r="N19" s="21">
        <f t="shared" si="1"/>
        <v>2.1469366446043168</v>
      </c>
      <c r="P19" s="21">
        <f>M19*'Energy Use'!$E$6+E19*'Energy Use'!$E$8</f>
        <v>6.6545880110503601</v>
      </c>
    </row>
    <row r="20" spans="1:16">
      <c r="A20" s="62">
        <f>'Energy Use'!B34</f>
        <v>41101</v>
      </c>
      <c r="B20" s="12"/>
      <c r="C20" s="21"/>
      <c r="D20" s="21">
        <f>'Energy Use'!W34</f>
        <v>2.9590709999999998</v>
      </c>
      <c r="E20" s="21">
        <f>'Energy Use'!D34</f>
        <v>0.2289211994244604</v>
      </c>
      <c r="F20" s="12">
        <f>CDD!B31</f>
        <v>254</v>
      </c>
      <c r="G20" s="12">
        <f>HDD!B31</f>
        <v>10</v>
      </c>
      <c r="H20" s="12"/>
      <c r="I20" s="12"/>
      <c r="J20" s="12"/>
      <c r="K20" s="29">
        <v>180</v>
      </c>
      <c r="L20" s="29">
        <v>11</v>
      </c>
      <c r="M20" s="45">
        <f t="shared" si="0"/>
        <v>1.7688000000000001</v>
      </c>
      <c r="N20" s="45">
        <f t="shared" si="1"/>
        <v>1.9977211994244606</v>
      </c>
      <c r="O20" s="29"/>
      <c r="P20" s="45">
        <f>M20*'Energy Use'!$E$6+E20*'Energy Use'!$E$8</f>
        <v>6.1390024114187058</v>
      </c>
    </row>
    <row r="21" spans="1:16">
      <c r="A21" s="12"/>
      <c r="B21" s="12"/>
      <c r="C21" s="12"/>
      <c r="F21" s="12"/>
      <c r="G21" s="12"/>
      <c r="H21" s="12"/>
      <c r="I21" s="12"/>
      <c r="J21" s="12"/>
      <c r="K21" s="12"/>
      <c r="L21" s="12"/>
      <c r="M21" s="21"/>
      <c r="N21" s="21">
        <f>SUM(N9:N20)</f>
        <v>46.161935830791379</v>
      </c>
      <c r="P21" s="21">
        <f>SUM(P9:P20)</f>
        <v>140.00925618909929</v>
      </c>
    </row>
    <row r="22" spans="1:16">
      <c r="A22" s="12"/>
      <c r="B22" s="12"/>
      <c r="C22" s="12"/>
      <c r="F22" s="12"/>
      <c r="G22" s="12"/>
      <c r="H22" s="12"/>
      <c r="I22" s="12"/>
      <c r="J22" s="12"/>
      <c r="K22" s="12"/>
      <c r="L22" s="12"/>
      <c r="M22" s="21"/>
      <c r="N22" s="21">
        <f>SUM(D9:D20)+SUM(E9:E20)</f>
        <v>42.249796830791368</v>
      </c>
    </row>
    <row r="23" spans="1:16">
      <c r="A23" s="12"/>
      <c r="B23" s="12"/>
      <c r="C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6">
      <c r="M24" s="64"/>
      <c r="N24" s="64">
        <f>(N22-N21)/N22</f>
        <v>-9.2595451184486408E-2</v>
      </c>
    </row>
  </sheetData>
  <mergeCells count="1">
    <mergeCell ref="J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Propane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2013-03-15T16:24:56Z</dcterms:modified>
</cp:coreProperties>
</file>