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22980" windowHeight="9525" activeTab="6"/>
  </bookViews>
  <sheets>
    <sheet name="Pre-Retrofit" sheetId="9" r:id="rId1"/>
    <sheet name="Gas" sheetId="1" r:id="rId2"/>
    <sheet name="Elec" sheetId="2" r:id="rId3"/>
    <sheet name="Energy Use" sheetId="8" r:id="rId4"/>
    <sheet name="HDD" sheetId="5" r:id="rId5"/>
    <sheet name="CDD" sheetId="4" r:id="rId6"/>
    <sheet name="Weather Lin Regr Analysis" sheetId="3" r:id="rId7"/>
  </sheets>
  <calcPr calcId="125725"/>
</workbook>
</file>

<file path=xl/calcChain.xml><?xml version="1.0" encoding="utf-8"?>
<calcChain xmlns="http://schemas.openxmlformats.org/spreadsheetml/2006/main">
  <c r="K31" i="8"/>
  <c r="N31" s="1"/>
  <c r="Q31" s="1"/>
  <c r="K30"/>
  <c r="N30" s="1"/>
  <c r="Q30" s="1"/>
  <c r="K29"/>
  <c r="N29" s="1"/>
  <c r="Q29" s="1"/>
  <c r="K28"/>
  <c r="N28" s="1"/>
  <c r="Q28" s="1"/>
  <c r="K27"/>
  <c r="N27" s="1"/>
  <c r="Q27" s="1"/>
  <c r="K26"/>
  <c r="N26" s="1"/>
  <c r="Q26" s="1"/>
  <c r="K25"/>
  <c r="N25" s="1"/>
  <c r="Q25" s="1"/>
  <c r="K24"/>
  <c r="N24" s="1"/>
  <c r="Q24" s="1"/>
  <c r="K23"/>
  <c r="N23" s="1"/>
  <c r="Q23" s="1"/>
  <c r="K22"/>
  <c r="N22" s="1"/>
  <c r="Q22" s="1"/>
  <c r="K21"/>
  <c r="N21" s="1"/>
  <c r="Q21" s="1"/>
  <c r="K20"/>
  <c r="N20" s="1"/>
  <c r="Q20" s="1"/>
  <c r="K19"/>
  <c r="N19" s="1"/>
  <c r="Q19" s="1"/>
  <c r="K18"/>
  <c r="N18" s="1"/>
  <c r="Q18" s="1"/>
  <c r="K17"/>
  <c r="N17" s="1"/>
  <c r="Q17" s="1"/>
  <c r="K16"/>
  <c r="N16" s="1"/>
  <c r="Q16" s="1"/>
  <c r="K15"/>
  <c r="N15" s="1"/>
  <c r="Q15" s="1"/>
  <c r="K14"/>
  <c r="N14" s="1"/>
  <c r="Q14" s="1"/>
  <c r="K13"/>
  <c r="N13" s="1"/>
  <c r="Q13" s="1"/>
  <c r="K12"/>
  <c r="N12" s="1"/>
  <c r="Q12" s="1"/>
  <c r="K11"/>
  <c r="N11" s="1"/>
  <c r="Q11" s="1"/>
  <c r="K10"/>
  <c r="N10" s="1"/>
  <c r="Q10" s="1"/>
  <c r="O48" i="9"/>
  <c r="E48"/>
  <c r="M20" i="3"/>
  <c r="M19"/>
  <c r="M18"/>
  <c r="M17"/>
  <c r="M16"/>
  <c r="M15"/>
  <c r="M14"/>
  <c r="M13"/>
  <c r="M12"/>
  <c r="M11"/>
  <c r="M10"/>
  <c r="M9"/>
  <c r="J48" i="9"/>
  <c r="C48"/>
  <c r="I72"/>
  <c r="I71"/>
  <c r="I70"/>
  <c r="I69"/>
  <c r="I68"/>
  <c r="I67"/>
  <c r="I66"/>
  <c r="I65"/>
  <c r="I64"/>
  <c r="I63"/>
  <c r="I62"/>
  <c r="I61"/>
  <c r="G72"/>
  <c r="G71"/>
  <c r="G70"/>
  <c r="G69"/>
  <c r="G68"/>
  <c r="G67"/>
  <c r="G66"/>
  <c r="G65"/>
  <c r="G64"/>
  <c r="G63"/>
  <c r="G62"/>
  <c r="G61"/>
  <c r="F72"/>
  <c r="F71"/>
  <c r="F70"/>
  <c r="F69"/>
  <c r="F68"/>
  <c r="F67"/>
  <c r="F66"/>
  <c r="F65"/>
  <c r="F64"/>
  <c r="F63"/>
  <c r="F62"/>
  <c r="F61"/>
  <c r="P45"/>
  <c r="P44"/>
  <c r="P43"/>
  <c r="P42"/>
  <c r="P41"/>
  <c r="P40"/>
  <c r="P39"/>
  <c r="P38"/>
  <c r="P37"/>
  <c r="P36"/>
  <c r="P35"/>
  <c r="P34"/>
  <c r="G20" i="3"/>
  <c r="G19"/>
  <c r="G18"/>
  <c r="G17"/>
  <c r="G16"/>
  <c r="G15"/>
  <c r="G14"/>
  <c r="G13"/>
  <c r="G12"/>
  <c r="G11"/>
  <c r="G10"/>
  <c r="G9"/>
  <c r="G8"/>
  <c r="F20"/>
  <c r="F19"/>
  <c r="F18"/>
  <c r="F17"/>
  <c r="F16"/>
  <c r="F15"/>
  <c r="F14"/>
  <c r="F13"/>
  <c r="F12"/>
  <c r="F11"/>
  <c r="F10"/>
  <c r="F9"/>
  <c r="F8"/>
  <c r="F4"/>
  <c r="A20"/>
  <c r="A19"/>
  <c r="A18"/>
  <c r="A17"/>
  <c r="A16"/>
  <c r="A15"/>
  <c r="A14"/>
  <c r="A13"/>
  <c r="A12"/>
  <c r="A11"/>
  <c r="A10"/>
  <c r="A9"/>
  <c r="A8"/>
  <c r="I73" i="9" l="1"/>
  <c r="E46"/>
  <c r="E45"/>
  <c r="E44"/>
  <c r="E43"/>
  <c r="E42"/>
  <c r="E41"/>
  <c r="E40"/>
  <c r="E39"/>
  <c r="E38"/>
  <c r="E37"/>
  <c r="E36"/>
  <c r="E35"/>
  <c r="D46"/>
  <c r="D45"/>
  <c r="G45" s="1"/>
  <c r="S45" s="1"/>
  <c r="D44"/>
  <c r="D43"/>
  <c r="G43" s="1"/>
  <c r="S43" s="1"/>
  <c r="D42"/>
  <c r="D41"/>
  <c r="G41" s="1"/>
  <c r="S41" s="1"/>
  <c r="D40"/>
  <c r="D39"/>
  <c r="G39" s="1"/>
  <c r="S39" s="1"/>
  <c r="D38"/>
  <c r="D37"/>
  <c r="G37" s="1"/>
  <c r="S37" s="1"/>
  <c r="D36"/>
  <c r="D35"/>
  <c r="G34"/>
  <c r="G46"/>
  <c r="S46" s="1"/>
  <c r="G44"/>
  <c r="S44" s="1"/>
  <c r="G42"/>
  <c r="S42" s="1"/>
  <c r="G40"/>
  <c r="S40" s="1"/>
  <c r="G38"/>
  <c r="S38" s="1"/>
  <c r="G36"/>
  <c r="S36" s="1"/>
  <c r="G35"/>
  <c r="S35" s="1"/>
  <c r="H34"/>
  <c r="Q46"/>
  <c r="P46"/>
  <c r="L46"/>
  <c r="O46" s="1"/>
  <c r="J46"/>
  <c r="N46" s="1"/>
  <c r="V46" s="1"/>
  <c r="Q45"/>
  <c r="L45"/>
  <c r="O45" s="1"/>
  <c r="J45"/>
  <c r="N45" s="1"/>
  <c r="V45" s="1"/>
  <c r="Q44"/>
  <c r="L44"/>
  <c r="O44" s="1"/>
  <c r="J44"/>
  <c r="N44" s="1"/>
  <c r="V44" s="1"/>
  <c r="Q43"/>
  <c r="L43"/>
  <c r="O43" s="1"/>
  <c r="J43"/>
  <c r="N43" s="1"/>
  <c r="Q42"/>
  <c r="L42"/>
  <c r="O42" s="1"/>
  <c r="J42"/>
  <c r="N42" s="1"/>
  <c r="V42" s="1"/>
  <c r="Q41"/>
  <c r="L41"/>
  <c r="O41" s="1"/>
  <c r="J41"/>
  <c r="N41" s="1"/>
  <c r="V41" s="1"/>
  <c r="Q40"/>
  <c r="L40"/>
  <c r="O40" s="1"/>
  <c r="J40"/>
  <c r="N40" s="1"/>
  <c r="V40" s="1"/>
  <c r="Q39"/>
  <c r="L39"/>
  <c r="O39" s="1"/>
  <c r="J39"/>
  <c r="N39" s="1"/>
  <c r="Q38"/>
  <c r="L38"/>
  <c r="O38" s="1"/>
  <c r="J38"/>
  <c r="N38" s="1"/>
  <c r="V38" s="1"/>
  <c r="Q37"/>
  <c r="L37"/>
  <c r="O37" s="1"/>
  <c r="J37"/>
  <c r="N37" s="1"/>
  <c r="V37" s="1"/>
  <c r="Q36"/>
  <c r="L36"/>
  <c r="O36" s="1"/>
  <c r="J36"/>
  <c r="N36" s="1"/>
  <c r="V36" s="1"/>
  <c r="Q35"/>
  <c r="L35"/>
  <c r="O35" s="1"/>
  <c r="J35"/>
  <c r="N35" s="1"/>
  <c r="V35" s="1"/>
  <c r="Q34"/>
  <c r="L34"/>
  <c r="O34" s="1"/>
  <c r="W34" s="1"/>
  <c r="J34"/>
  <c r="N34" s="1"/>
  <c r="V34" s="1"/>
  <c r="T34"/>
  <c r="S34"/>
  <c r="D34"/>
  <c r="C34"/>
  <c r="L33"/>
  <c r="J33"/>
  <c r="C33"/>
  <c r="D33" s="1"/>
  <c r="Q33"/>
  <c r="P33"/>
  <c r="E27"/>
  <c r="E26"/>
  <c r="E25"/>
  <c r="V39" l="1"/>
  <c r="V52" s="1"/>
  <c r="V43"/>
  <c r="S52"/>
  <c r="S50"/>
  <c r="S51"/>
  <c r="V51"/>
  <c r="N33"/>
  <c r="V33" s="1"/>
  <c r="O33"/>
  <c r="E33"/>
  <c r="G33"/>
  <c r="S33" s="1"/>
  <c r="E34"/>
  <c r="V50" l="1"/>
  <c r="H33"/>
  <c r="T33" s="1"/>
  <c r="W33"/>
  <c r="K19" l="1"/>
  <c r="K18"/>
  <c r="K17"/>
  <c r="D19"/>
  <c r="D18"/>
  <c r="D17"/>
  <c r="C32" i="8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S12"/>
  <c r="R12"/>
  <c r="S11"/>
  <c r="R11"/>
  <c r="S10"/>
  <c r="R10"/>
  <c r="L12"/>
  <c r="L11"/>
  <c r="L10"/>
  <c r="D7" i="1"/>
  <c r="D6"/>
  <c r="E9" i="2"/>
  <c r="E8"/>
  <c r="E7"/>
  <c r="D7"/>
  <c r="D8"/>
  <c r="D9"/>
  <c r="L31" i="8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E2"/>
  <c r="E3"/>
  <c r="E1" s="1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E28" i="2"/>
  <c r="E27"/>
  <c r="E26"/>
  <c r="E25"/>
  <c r="E24"/>
  <c r="E23"/>
  <c r="E22"/>
  <c r="E21"/>
  <c r="E20"/>
  <c r="E19"/>
  <c r="E18"/>
  <c r="E17"/>
  <c r="E16"/>
  <c r="D28"/>
  <c r="D27"/>
  <c r="D26"/>
  <c r="D25"/>
  <c r="D24"/>
  <c r="D23"/>
  <c r="D22"/>
  <c r="D21"/>
  <c r="D20"/>
  <c r="D19"/>
  <c r="D18"/>
  <c r="D17"/>
  <c r="D16"/>
  <c r="D29" i="1"/>
  <c r="D28"/>
  <c r="D27"/>
  <c r="D26"/>
  <c r="D25"/>
  <c r="D24"/>
  <c r="D23"/>
  <c r="D22"/>
  <c r="D21"/>
  <c r="D20"/>
  <c r="D19"/>
  <c r="D18"/>
  <c r="D17"/>
  <c r="D16"/>
  <c r="D15"/>
  <c r="E11" i="2"/>
  <c r="E12"/>
  <c r="E13"/>
  <c r="E14"/>
  <c r="E15"/>
  <c r="E10"/>
  <c r="D11"/>
  <c r="D12"/>
  <c r="D13"/>
  <c r="D14"/>
  <c r="D15"/>
  <c r="D10"/>
  <c r="D9" i="1"/>
  <c r="D10"/>
  <c r="D11"/>
  <c r="D12"/>
  <c r="D13"/>
  <c r="D14"/>
  <c r="D8"/>
  <c r="D12" i="8" l="1"/>
  <c r="D14"/>
  <c r="D16"/>
  <c r="D18"/>
  <c r="D22"/>
  <c r="E11" i="3" s="1"/>
  <c r="D24" i="8"/>
  <c r="E13" i="3" s="1"/>
  <c r="C36" i="8"/>
  <c r="D36" s="1"/>
  <c r="D28"/>
  <c r="E17" i="3" s="1"/>
  <c r="D30" i="8"/>
  <c r="E19" i="3" s="1"/>
  <c r="D11" i="8"/>
  <c r="G11" s="1"/>
  <c r="D13"/>
  <c r="D15"/>
  <c r="D17"/>
  <c r="D19"/>
  <c r="E8" i="3" s="1"/>
  <c r="D21" i="8"/>
  <c r="E10" i="3" s="1"/>
  <c r="D23" i="8"/>
  <c r="E12" i="3" s="1"/>
  <c r="D25" i="8"/>
  <c r="E14" i="3" s="1"/>
  <c r="D27" i="8"/>
  <c r="E16" i="3" s="1"/>
  <c r="D29" i="8"/>
  <c r="E18" i="3" s="1"/>
  <c r="D31" i="8"/>
  <c r="E20" i="3" s="1"/>
  <c r="E36" i="8"/>
  <c r="D20"/>
  <c r="C44"/>
  <c r="C40"/>
  <c r="C39"/>
  <c r="D26"/>
  <c r="C43"/>
  <c r="C10"/>
  <c r="D10" s="1"/>
  <c r="P12"/>
  <c r="X12" s="1"/>
  <c r="G12"/>
  <c r="U12" s="1"/>
  <c r="E12"/>
  <c r="H12" s="1"/>
  <c r="U11"/>
  <c r="P10"/>
  <c r="P14"/>
  <c r="X14" s="1"/>
  <c r="P18"/>
  <c r="X18" s="1"/>
  <c r="P20"/>
  <c r="P22"/>
  <c r="P13"/>
  <c r="X13" s="1"/>
  <c r="P15"/>
  <c r="X15" s="1"/>
  <c r="P21"/>
  <c r="P25"/>
  <c r="P29"/>
  <c r="G31"/>
  <c r="E31"/>
  <c r="G30"/>
  <c r="U30" s="1"/>
  <c r="E30"/>
  <c r="G29"/>
  <c r="U29" s="1"/>
  <c r="E29"/>
  <c r="G28"/>
  <c r="U28" s="1"/>
  <c r="E28"/>
  <c r="G27"/>
  <c r="E27"/>
  <c r="G26"/>
  <c r="E26"/>
  <c r="E33" s="1"/>
  <c r="G25"/>
  <c r="U25" s="1"/>
  <c r="E25"/>
  <c r="G24"/>
  <c r="U24" s="1"/>
  <c r="E24"/>
  <c r="G23"/>
  <c r="E23"/>
  <c r="G22"/>
  <c r="U22" s="1"/>
  <c r="E22"/>
  <c r="G21"/>
  <c r="U21" s="1"/>
  <c r="E21"/>
  <c r="G20"/>
  <c r="U20" s="1"/>
  <c r="E20"/>
  <c r="G19"/>
  <c r="E19"/>
  <c r="G18"/>
  <c r="U18" s="1"/>
  <c r="E18"/>
  <c r="G17"/>
  <c r="E17"/>
  <c r="G16"/>
  <c r="E16"/>
  <c r="G15"/>
  <c r="U15" s="1"/>
  <c r="E15"/>
  <c r="G14"/>
  <c r="U14" s="1"/>
  <c r="E14"/>
  <c r="G13"/>
  <c r="U13" s="1"/>
  <c r="E13"/>
  <c r="E46" l="1"/>
  <c r="E34"/>
  <c r="E11"/>
  <c r="H11" s="1"/>
  <c r="C38"/>
  <c r="D38" s="1"/>
  <c r="E9" i="3"/>
  <c r="D34" i="8"/>
  <c r="E15" i="3"/>
  <c r="D33" i="8"/>
  <c r="K36"/>
  <c r="X25"/>
  <c r="D14" i="3"/>
  <c r="X20" i="8"/>
  <c r="D9" i="3"/>
  <c r="K39" i="8"/>
  <c r="K43"/>
  <c r="K44"/>
  <c r="X29"/>
  <c r="D18" i="3"/>
  <c r="X21" i="8"/>
  <c r="D10" i="3"/>
  <c r="X22" i="8"/>
  <c r="D11" i="3"/>
  <c r="K40" i="8"/>
  <c r="E38"/>
  <c r="U16"/>
  <c r="U17"/>
  <c r="U19"/>
  <c r="U23"/>
  <c r="U26"/>
  <c r="U27"/>
  <c r="P27"/>
  <c r="P23"/>
  <c r="P17"/>
  <c r="X17" s="1"/>
  <c r="U31"/>
  <c r="P28"/>
  <c r="V11"/>
  <c r="P11"/>
  <c r="X11" s="1"/>
  <c r="V12"/>
  <c r="Y12"/>
  <c r="X10"/>
  <c r="G10"/>
  <c r="U10" s="1"/>
  <c r="E10"/>
  <c r="H10" s="1"/>
  <c r="V10" s="1"/>
  <c r="Y30"/>
  <c r="Y24"/>
  <c r="P31"/>
  <c r="P30"/>
  <c r="P24"/>
  <c r="Y11"/>
  <c r="P26"/>
  <c r="P19"/>
  <c r="Y19"/>
  <c r="P16"/>
  <c r="X16" s="1"/>
  <c r="H13"/>
  <c r="V13" s="1"/>
  <c r="Y13"/>
  <c r="H14"/>
  <c r="V14" s="1"/>
  <c r="Y14"/>
  <c r="H15"/>
  <c r="V15" s="1"/>
  <c r="Y15"/>
  <c r="H16"/>
  <c r="V16" s="1"/>
  <c r="Y16"/>
  <c r="H17"/>
  <c r="V17" s="1"/>
  <c r="Y17"/>
  <c r="H18"/>
  <c r="V18" s="1"/>
  <c r="Y18"/>
  <c r="H19"/>
  <c r="V19" s="1"/>
  <c r="H20"/>
  <c r="V20" s="1"/>
  <c r="Y20"/>
  <c r="H21"/>
  <c r="V21" s="1"/>
  <c r="Y21"/>
  <c r="H22"/>
  <c r="V22" s="1"/>
  <c r="Y22"/>
  <c r="H23"/>
  <c r="V23" s="1"/>
  <c r="Y23"/>
  <c r="H24"/>
  <c r="V24" s="1"/>
  <c r="H25"/>
  <c r="V25" s="1"/>
  <c r="Y25"/>
  <c r="H26"/>
  <c r="V26" s="1"/>
  <c r="H27"/>
  <c r="V27" s="1"/>
  <c r="Y27"/>
  <c r="H28"/>
  <c r="V28" s="1"/>
  <c r="Y28"/>
  <c r="H29"/>
  <c r="V29" s="1"/>
  <c r="Y29"/>
  <c r="H30"/>
  <c r="V30" s="1"/>
  <c r="H31"/>
  <c r="V31" s="1"/>
  <c r="Y31"/>
  <c r="W43" i="9"/>
  <c r="W45"/>
  <c r="W36"/>
  <c r="W51" s="1"/>
  <c r="W38"/>
  <c r="W41"/>
  <c r="W46"/>
  <c r="W35"/>
  <c r="W50" s="1"/>
  <c r="W39"/>
  <c r="H39"/>
  <c r="T39" s="1"/>
  <c r="T37"/>
  <c r="W40"/>
  <c r="H35"/>
  <c r="T35" s="1"/>
  <c r="W42"/>
  <c r="H38"/>
  <c r="T38" s="1"/>
  <c r="W44"/>
  <c r="H44"/>
  <c r="T44" s="1"/>
  <c r="H45"/>
  <c r="T45" s="1"/>
  <c r="W37"/>
  <c r="H37"/>
  <c r="H46"/>
  <c r="T46" s="1"/>
  <c r="H43"/>
  <c r="T43" s="1"/>
  <c r="H41"/>
  <c r="T41" s="1"/>
  <c r="H36"/>
  <c r="T36" s="1"/>
  <c r="H40"/>
  <c r="T40" s="1"/>
  <c r="H42"/>
  <c r="T42" s="1"/>
  <c r="P32" i="8" l="1"/>
  <c r="P33"/>
  <c r="Q33"/>
  <c r="Y26"/>
  <c r="Q32"/>
  <c r="P36"/>
  <c r="X36" s="1"/>
  <c r="Q36"/>
  <c r="Y36" s="1"/>
  <c r="Q46"/>
  <c r="X26"/>
  <c r="D15" i="3"/>
  <c r="X30" i="8"/>
  <c r="D19" i="3"/>
  <c r="X23" i="8"/>
  <c r="D12" i="3"/>
  <c r="V44" i="8"/>
  <c r="U42"/>
  <c r="X19"/>
  <c r="D8" i="3"/>
  <c r="X24" i="8"/>
  <c r="D13" i="3"/>
  <c r="X31" i="8"/>
  <c r="D20" i="3"/>
  <c r="X28" i="8"/>
  <c r="D17" i="3"/>
  <c r="X27" i="8"/>
  <c r="D16" i="3"/>
  <c r="O11"/>
  <c r="N11"/>
  <c r="O10"/>
  <c r="N10"/>
  <c r="O18"/>
  <c r="N18"/>
  <c r="O9"/>
  <c r="N9"/>
  <c r="O14"/>
  <c r="N14"/>
  <c r="K38" i="8"/>
  <c r="U44"/>
  <c r="V42"/>
  <c r="Y44"/>
  <c r="Y10"/>
  <c r="Y42"/>
  <c r="T52" i="9"/>
  <c r="T50"/>
  <c r="T51"/>
  <c r="W52"/>
  <c r="X42" i="8" l="1"/>
  <c r="N16" i="3"/>
  <c r="O16"/>
  <c r="O17"/>
  <c r="N17"/>
  <c r="N20"/>
  <c r="O20"/>
  <c r="O13"/>
  <c r="N13"/>
  <c r="N12"/>
  <c r="O12"/>
  <c r="O19"/>
  <c r="N19"/>
  <c r="O15"/>
  <c r="N15"/>
  <c r="Q38" i="8"/>
  <c r="Y38" s="1"/>
  <c r="P38"/>
  <c r="X38" s="1"/>
  <c r="N22" i="3"/>
  <c r="X44" i="8"/>
  <c r="O21" i="3" l="1"/>
  <c r="N21"/>
  <c r="N24" s="1"/>
</calcChain>
</file>

<file path=xl/comments1.xml><?xml version="1.0" encoding="utf-8"?>
<comments xmlns="http://schemas.openxmlformats.org/spreadsheetml/2006/main">
  <authors>
    <author>Cathy</author>
  </authors>
  <commentList>
    <comment ref="M7" authorId="0">
      <text>
        <r>
          <rPr>
            <b/>
            <sz val="9"/>
            <color indexed="81"/>
            <rFont val="Tahoma"/>
            <family val="2"/>
          </rPr>
          <t>Cathy:</t>
        </r>
        <r>
          <rPr>
            <sz val="9"/>
            <color indexed="81"/>
            <rFont val="Tahoma"/>
            <family val="2"/>
          </rPr>
          <t xml:space="preserve">
Used best fit equation with BEopt generated HDD </t>
        </r>
      </text>
    </comment>
  </commentList>
</comments>
</file>

<file path=xl/sharedStrings.xml><?xml version="1.0" encoding="utf-8"?>
<sst xmlns="http://schemas.openxmlformats.org/spreadsheetml/2006/main" count="151" uniqueCount="79">
  <si>
    <t>therms</t>
  </si>
  <si>
    <t>HDD</t>
  </si>
  <si>
    <t>Electricity used</t>
  </si>
  <si>
    <t>(negative)</t>
  </si>
  <si>
    <t>Electric Consumption (kWh)</t>
  </si>
  <si>
    <t>PV Production (kWh)</t>
  </si>
  <si>
    <t>CDD</t>
  </si>
  <si>
    <t>Description:</t>
  </si>
  <si>
    <t>Fahrenheit-based heating degree days for a base temperature of 65F</t>
  </si>
  <si>
    <t>Source:</t>
  </si>
  <si>
    <t>www.degreedays.net (using temperature data from www.wunderground.com)</t>
  </si>
  <si>
    <t>Accuracy:</t>
  </si>
  <si>
    <t>Estimates were made to account for missing data: the "% Estimated" column shows how much each figure was affected (0% is best, 100% is worst)</t>
  </si>
  <si>
    <t>Station:</t>
  </si>
  <si>
    <t>BEDFORD HANSCOM FIELD, MA, US (71.29W,42.47N)</t>
  </si>
  <si>
    <t>Station ID:</t>
  </si>
  <si>
    <t>KBED</t>
  </si>
  <si>
    <t>Month starting</t>
  </si>
  <si>
    <t>% Estimated</t>
  </si>
  <si>
    <t>Fahrenheit-based cooling degree days for a base temperature of 65F</t>
  </si>
  <si>
    <t>site kwh</t>
  </si>
  <si>
    <t>site Mbtu</t>
  </si>
  <si>
    <t>source Mbtu</t>
  </si>
  <si>
    <t>source kwh</t>
  </si>
  <si>
    <t>kwh to Mbtu</t>
  </si>
  <si>
    <t>therm to MBTU</t>
  </si>
  <si>
    <t>natural gas source/site</t>
  </si>
  <si>
    <t>grid electricity source/site</t>
  </si>
  <si>
    <t>Mbtu to kwh</t>
  </si>
  <si>
    <t>site KWH</t>
  </si>
  <si>
    <t>source KWH</t>
  </si>
  <si>
    <t>Total kwh</t>
  </si>
  <si>
    <t>site</t>
  </si>
  <si>
    <t>source</t>
  </si>
  <si>
    <t>Total Mbtu</t>
  </si>
  <si>
    <t>Bedford</t>
  </si>
  <si>
    <t>Retrofit Completed</t>
  </si>
  <si>
    <t>Newton Single Family</t>
  </si>
  <si>
    <t>Lavine</t>
  </si>
  <si>
    <t>Lavine email with Nstar data given by month</t>
  </si>
  <si>
    <t>Newton Single Family  Pre-Retrofit from Application</t>
  </si>
  <si>
    <t>Read date</t>
  </si>
  <si>
    <t>gas usage</t>
  </si>
  <si>
    <t>electricity usage</t>
  </si>
  <si>
    <t>kwh</t>
  </si>
  <si>
    <t>Totals 12 months</t>
  </si>
  <si>
    <t>Totals 6 months</t>
  </si>
  <si>
    <t>Natural Gas usage</t>
  </si>
  <si>
    <t>Totals</t>
  </si>
  <si>
    <t>Therms</t>
  </si>
  <si>
    <t>Sep 09 - Aug 10 Totals</t>
  </si>
  <si>
    <t>Oct 09 - Sep 10 Totals</t>
  </si>
  <si>
    <t>Nov 09 - Oct 10 Totals</t>
  </si>
  <si>
    <t>MIN USAGE  (with 12 mos data average 2 lowest)</t>
  </si>
  <si>
    <t>Linear Regression on Post Retrofit data</t>
  </si>
  <si>
    <t xml:space="preserve">Month </t>
  </si>
  <si>
    <t>Date</t>
  </si>
  <si>
    <t>Actual CDD</t>
  </si>
  <si>
    <t>Actual HDD</t>
  </si>
  <si>
    <t>Comments</t>
  </si>
  <si>
    <t>Predicted (BEopt 1.3) BOSTON</t>
  </si>
  <si>
    <t>BEopt 1.3 kWh</t>
  </si>
  <si>
    <t>BEopt 1.3 CDD</t>
  </si>
  <si>
    <t>BEopt 1.3 HDD</t>
  </si>
  <si>
    <t>Actual site energy</t>
  </si>
  <si>
    <t>Electricity</t>
  </si>
  <si>
    <t>Natural Gas</t>
  </si>
  <si>
    <t>Normalized</t>
  </si>
  <si>
    <t>Total Site</t>
  </si>
  <si>
    <t xml:space="preserve">Normalized </t>
  </si>
  <si>
    <t>Total Src</t>
  </si>
  <si>
    <t>MMBtu</t>
  </si>
  <si>
    <t xml:space="preserve">WEATHER NORMALIZATION </t>
  </si>
  <si>
    <t>Site Energy</t>
  </si>
  <si>
    <t>Src Energy</t>
  </si>
  <si>
    <t>MIN USAGE 6 mos</t>
  </si>
  <si>
    <t>12 mo MMBtu</t>
  </si>
  <si>
    <t>6 mo</t>
  </si>
  <si>
    <t>12 mo</t>
  </si>
</sst>
</file>

<file path=xl/styles.xml><?xml version="1.0" encoding="utf-8"?>
<styleSheet xmlns="http://schemas.openxmlformats.org/spreadsheetml/2006/main">
  <numFmts count="4">
    <numFmt numFmtId="164" formatCode="&quot;$&quot;#,##0.00"/>
    <numFmt numFmtId="165" formatCode="&quot;$&quot;#,##0.0000"/>
    <numFmt numFmtId="166" formatCode="&quot;$&quot;#,##0.00000"/>
    <numFmt numFmtId="167" formatCode="[$-409]mmm\-yy;@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0"/>
      <name val="Calibri"/>
      <family val="2"/>
    </font>
    <font>
      <sz val="8"/>
      <color indexed="8"/>
      <name val="Verdana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17" fontId="0" fillId="0" borderId="0" xfId="0" applyNumberFormat="1"/>
    <xf numFmtId="0" fontId="18" fillId="0" borderId="10" xfId="42" applyNumberFormat="1" applyFont="1" applyFill="1" applyBorder="1" applyAlignment="1">
      <alignment wrapText="1"/>
    </xf>
    <xf numFmtId="0" fontId="0" fillId="0" borderId="0" xfId="0" applyFill="1"/>
    <xf numFmtId="0" fontId="18" fillId="0" borderId="10" xfId="42" applyNumberFormat="1" applyFont="1" applyFill="1" applyBorder="1" applyAlignment="1">
      <alignment wrapText="1"/>
    </xf>
    <xf numFmtId="0" fontId="18" fillId="33" borderId="10" xfId="42" applyNumberFormat="1" applyFont="1" applyFill="1" applyBorder="1" applyAlignment="1">
      <alignment wrapText="1"/>
    </xf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10" xfId="0" applyBorder="1"/>
    <xf numFmtId="0" fontId="18" fillId="34" borderId="10" xfId="42" applyNumberFormat="1" applyFont="1" applyFill="1" applyBorder="1" applyAlignment="1">
      <alignment wrapText="1"/>
    </xf>
    <xf numFmtId="0" fontId="0" fillId="34" borderId="10" xfId="0" applyFill="1" applyBorder="1"/>
    <xf numFmtId="0" fontId="18" fillId="34" borderId="11" xfId="42" applyNumberFormat="1" applyFont="1" applyFill="1" applyBorder="1" applyAlignment="1">
      <alignment wrapText="1"/>
    </xf>
    <xf numFmtId="4" fontId="0" fillId="0" borderId="0" xfId="0" applyNumberFormat="1"/>
    <xf numFmtId="2" fontId="18" fillId="0" borderId="10" xfId="42" applyNumberFormat="1" applyFont="1" applyFill="1" applyBorder="1" applyAlignment="1">
      <alignment wrapText="1"/>
    </xf>
    <xf numFmtId="2" fontId="0" fillId="0" borderId="0" xfId="0" applyNumberFormat="1"/>
    <xf numFmtId="0" fontId="20" fillId="0" borderId="0" xfId="43" applyFont="1" applyAlignment="1" applyProtection="1"/>
    <xf numFmtId="0" fontId="18" fillId="0" borderId="0" xfId="42" applyNumberFormat="1" applyFont="1" applyFill="1" applyBorder="1" applyAlignment="1">
      <alignment wrapText="1"/>
    </xf>
    <xf numFmtId="0" fontId="0" fillId="0" borderId="0" xfId="0" applyBorder="1"/>
    <xf numFmtId="2" fontId="18" fillId="0" borderId="0" xfId="42" applyNumberFormat="1" applyFont="1" applyFill="1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7" fontId="0" fillId="0" borderId="15" xfId="0" applyNumberFormat="1" applyBorder="1"/>
    <xf numFmtId="2" fontId="0" fillId="0" borderId="0" xfId="0" applyNumberFormat="1" applyBorder="1"/>
    <xf numFmtId="17" fontId="0" fillId="0" borderId="0" xfId="0" applyNumberFormat="1" applyBorder="1"/>
    <xf numFmtId="0" fontId="18" fillId="0" borderId="16" xfId="42" applyNumberFormat="1" applyFont="1" applyFill="1" applyBorder="1" applyAlignment="1">
      <alignment wrapText="1"/>
    </xf>
    <xf numFmtId="2" fontId="18" fillId="0" borderId="16" xfId="42" applyNumberFormat="1" applyFont="1" applyFill="1" applyBorder="1" applyAlignment="1">
      <alignment wrapText="1"/>
    </xf>
    <xf numFmtId="0" fontId="0" fillId="0" borderId="17" xfId="0" applyBorder="1"/>
    <xf numFmtId="0" fontId="0" fillId="0" borderId="18" xfId="0" applyFill="1" applyBorder="1"/>
    <xf numFmtId="0" fontId="0" fillId="0" borderId="18" xfId="0" applyBorder="1"/>
    <xf numFmtId="0" fontId="0" fillId="0" borderId="19" xfId="0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17" fontId="0" fillId="0" borderId="12" xfId="0" applyNumberFormat="1" applyBorder="1"/>
    <xf numFmtId="4" fontId="0" fillId="0" borderId="0" xfId="0" applyNumberFormat="1" applyBorder="1"/>
    <xf numFmtId="0" fontId="0" fillId="0" borderId="15" xfId="0" applyFill="1" applyBorder="1"/>
    <xf numFmtId="0" fontId="0" fillId="0" borderId="16" xfId="0" applyFill="1" applyBorder="1"/>
    <xf numFmtId="2" fontId="0" fillId="0" borderId="0" xfId="0" applyNumberFormat="1" applyFill="1" applyBorder="1"/>
    <xf numFmtId="2" fontId="0" fillId="0" borderId="16" xfId="0" applyNumberFormat="1" applyFill="1" applyBorder="1"/>
    <xf numFmtId="14" fontId="21" fillId="0" borderId="20" xfId="0" applyNumberFormat="1" applyFont="1" applyBorder="1" applyAlignment="1">
      <alignment horizontal="left" wrapText="1"/>
    </xf>
    <xf numFmtId="0" fontId="21" fillId="0" borderId="20" xfId="0" applyFont="1" applyBorder="1" applyAlignment="1">
      <alignment horizontal="left" wrapText="1"/>
    </xf>
    <xf numFmtId="0" fontId="18" fillId="0" borderId="0" xfId="42" applyNumberFormat="1" applyFont="1" applyFill="1" applyBorder="1" applyAlignment="1"/>
    <xf numFmtId="0" fontId="18" fillId="0" borderId="21" xfId="42" applyNumberFormat="1" applyFont="1" applyFill="1" applyBorder="1" applyAlignment="1">
      <alignment wrapText="1"/>
    </xf>
    <xf numFmtId="2" fontId="18" fillId="0" borderId="22" xfId="42" applyNumberFormat="1" applyFont="1" applyFill="1" applyBorder="1" applyAlignment="1">
      <alignment wrapText="1"/>
    </xf>
    <xf numFmtId="2" fontId="0" fillId="0" borderId="22" xfId="0" applyNumberFormat="1" applyBorder="1"/>
    <xf numFmtId="0" fontId="0" fillId="0" borderId="22" xfId="0" applyBorder="1"/>
    <xf numFmtId="2" fontId="0" fillId="0" borderId="23" xfId="0" applyNumberFormat="1" applyBorder="1"/>
    <xf numFmtId="0" fontId="22" fillId="0" borderId="0" xfId="42" applyFont="1" applyAlignment="1"/>
    <xf numFmtId="14" fontId="23" fillId="0" borderId="0" xfId="42" applyNumberFormat="1" applyFont="1" applyAlignment="1"/>
    <xf numFmtId="1" fontId="18" fillId="0" borderId="0" xfId="42" applyNumberFormat="1" applyAlignment="1"/>
    <xf numFmtId="164" fontId="18" fillId="0" borderId="0" xfId="42" applyNumberFormat="1" applyAlignment="1"/>
    <xf numFmtId="3" fontId="18" fillId="0" borderId="0" xfId="42" applyNumberFormat="1" applyAlignment="1"/>
    <xf numFmtId="0" fontId="18" fillId="0" borderId="0" xfId="42" applyAlignment="1">
      <alignment horizontal="left" indent="1"/>
    </xf>
    <xf numFmtId="165" fontId="18" fillId="0" borderId="0" xfId="42" applyNumberFormat="1" applyFill="1" applyAlignment="1">
      <alignment horizontal="right"/>
    </xf>
    <xf numFmtId="166" fontId="18" fillId="0" borderId="0" xfId="42" applyNumberFormat="1" applyFill="1" applyAlignment="1">
      <alignment horizontal="right"/>
    </xf>
    <xf numFmtId="14" fontId="24" fillId="0" borderId="0" xfId="42" applyNumberFormat="1" applyFont="1" applyAlignment="1"/>
    <xf numFmtId="0" fontId="25" fillId="0" borderId="0" xfId="43" applyFont="1" applyAlignment="1" applyProtection="1"/>
    <xf numFmtId="0" fontId="18" fillId="0" borderId="0" xfId="42" applyAlignment="1"/>
    <xf numFmtId="14" fontId="18" fillId="0" borderId="0" xfId="42" applyNumberFormat="1" applyAlignment="1"/>
    <xf numFmtId="1" fontId="18" fillId="0" borderId="0" xfId="42" applyNumberFormat="1" applyFont="1" applyAlignment="1">
      <alignment horizontal="center"/>
    </xf>
    <xf numFmtId="164" fontId="18" fillId="0" borderId="0" xfId="42" applyNumberFormat="1" applyFont="1" applyAlignment="1"/>
    <xf numFmtId="0" fontId="24" fillId="0" borderId="18" xfId="42" applyFont="1" applyBorder="1" applyAlignment="1">
      <alignment wrapText="1"/>
    </xf>
    <xf numFmtId="14" fontId="24" fillId="0" borderId="18" xfId="42" applyNumberFormat="1" applyFont="1" applyBorder="1" applyAlignment="1">
      <alignment horizontal="left" wrapText="1"/>
    </xf>
    <xf numFmtId="1" fontId="24" fillId="0" borderId="18" xfId="42" applyNumberFormat="1" applyFont="1" applyBorder="1" applyAlignment="1">
      <alignment horizontal="left" wrapText="1"/>
    </xf>
    <xf numFmtId="3" fontId="24" fillId="0" borderId="18" xfId="42" applyNumberFormat="1" applyFont="1" applyBorder="1" applyAlignment="1">
      <alignment horizontal="left" wrapText="1"/>
    </xf>
    <xf numFmtId="0" fontId="24" fillId="0" borderId="18" xfId="42" applyFont="1" applyBorder="1" applyAlignment="1">
      <alignment horizontal="left" wrapText="1"/>
    </xf>
    <xf numFmtId="165" fontId="24" fillId="0" borderId="18" xfId="42" applyNumberFormat="1" applyFont="1" applyFill="1" applyBorder="1" applyAlignment="1">
      <alignment horizontal="left" wrapText="1"/>
    </xf>
    <xf numFmtId="166" fontId="24" fillId="0" borderId="18" xfId="42" applyNumberFormat="1" applyFont="1" applyFill="1" applyBorder="1" applyAlignment="1">
      <alignment horizontal="center" wrapText="1"/>
    </xf>
    <xf numFmtId="166" fontId="24" fillId="0" borderId="18" xfId="42" applyNumberFormat="1" applyFont="1" applyFill="1" applyBorder="1" applyAlignment="1">
      <alignment horizontal="right" wrapText="1"/>
    </xf>
    <xf numFmtId="0" fontId="18" fillId="0" borderId="0" xfId="42" applyNumberFormat="1" applyAlignment="1"/>
    <xf numFmtId="0" fontId="26" fillId="0" borderId="0" xfId="0" applyFont="1"/>
    <xf numFmtId="0" fontId="26" fillId="0" borderId="0" xfId="0" applyFont="1" applyBorder="1"/>
    <xf numFmtId="17" fontId="18" fillId="0" borderId="18" xfId="42" applyNumberFormat="1" applyBorder="1" applyAlignment="1"/>
    <xf numFmtId="14" fontId="18" fillId="0" borderId="18" xfId="42" applyNumberFormat="1" applyBorder="1" applyAlignment="1"/>
    <xf numFmtId="1" fontId="18" fillId="0" borderId="18" xfId="42" applyNumberFormat="1" applyBorder="1" applyAlignment="1"/>
    <xf numFmtId="0" fontId="18" fillId="0" borderId="18" xfId="42" applyNumberFormat="1" applyBorder="1" applyAlignment="1"/>
    <xf numFmtId="164" fontId="18" fillId="0" borderId="18" xfId="42" applyNumberFormat="1" applyBorder="1" applyAlignment="1"/>
    <xf numFmtId="0" fontId="26" fillId="0" borderId="18" xfId="0" applyFont="1" applyBorder="1"/>
    <xf numFmtId="14" fontId="18" fillId="0" borderId="0" xfId="42" applyNumberFormat="1" applyBorder="1" applyAlignment="1"/>
    <xf numFmtId="164" fontId="18" fillId="0" borderId="0" xfId="42" applyNumberFormat="1" applyBorder="1" applyAlignment="1"/>
    <xf numFmtId="0" fontId="18" fillId="0" borderId="0" xfId="42" applyNumberFormat="1" applyBorder="1" applyAlignment="1"/>
    <xf numFmtId="167" fontId="18" fillId="0" borderId="0" xfId="42" applyNumberFormat="1" applyAlignment="1"/>
    <xf numFmtId="1" fontId="27" fillId="0" borderId="0" xfId="0" applyNumberFormat="1" applyFont="1"/>
    <xf numFmtId="167" fontId="26" fillId="0" borderId="0" xfId="0" applyNumberFormat="1" applyFont="1"/>
    <xf numFmtId="10" fontId="0" fillId="0" borderId="0" xfId="0" applyNumberFormat="1"/>
    <xf numFmtId="14" fontId="18" fillId="0" borderId="0" xfId="42" applyNumberFormat="1" applyFill="1" applyBorder="1" applyAlignment="1"/>
    <xf numFmtId="1" fontId="0" fillId="0" borderId="0" xfId="0" applyNumberFormat="1" applyFill="1" applyBorder="1"/>
    <xf numFmtId="2" fontId="18" fillId="0" borderId="0" xfId="42" applyNumberFormat="1" applyFill="1" applyBorder="1" applyAlignment="1"/>
    <xf numFmtId="0" fontId="18" fillId="0" borderId="13" xfId="42" applyBorder="1" applyAlignment="1"/>
    <xf numFmtId="14" fontId="18" fillId="0" borderId="13" xfId="42" applyNumberFormat="1" applyBorder="1" applyAlignment="1"/>
    <xf numFmtId="1" fontId="18" fillId="0" borderId="13" xfId="42" applyNumberFormat="1" applyBorder="1" applyAlignment="1"/>
    <xf numFmtId="3" fontId="18" fillId="0" borderId="13" xfId="42" applyNumberFormat="1" applyBorder="1" applyAlignment="1"/>
    <xf numFmtId="0" fontId="18" fillId="0" borderId="13" xfId="42" applyBorder="1" applyAlignment="1">
      <alignment horizontal="left" indent="1"/>
    </xf>
    <xf numFmtId="165" fontId="18" fillId="0" borderId="13" xfId="42" applyNumberFormat="1" applyFill="1" applyBorder="1" applyAlignment="1">
      <alignment horizontal="right"/>
    </xf>
    <xf numFmtId="166" fontId="18" fillId="0" borderId="13" xfId="42" applyNumberFormat="1" applyFill="1" applyBorder="1" applyAlignment="1">
      <alignment horizontal="right"/>
    </xf>
    <xf numFmtId="17" fontId="18" fillId="0" borderId="0" xfId="42" applyNumberFormat="1" applyBorder="1" applyAlignment="1"/>
    <xf numFmtId="1" fontId="18" fillId="0" borderId="0" xfId="42" applyNumberFormat="1" applyBorder="1" applyAlignment="1"/>
    <xf numFmtId="0" fontId="18" fillId="0" borderId="0" xfId="42" applyNumberFormat="1" applyFill="1" applyBorder="1" applyAlignment="1"/>
    <xf numFmtId="166" fontId="18" fillId="0" borderId="0" xfId="42" applyNumberFormat="1" applyFill="1" applyBorder="1" applyAlignment="1">
      <alignment horizontal="right"/>
    </xf>
    <xf numFmtId="2" fontId="0" fillId="0" borderId="18" xfId="0" applyNumberFormat="1" applyFill="1" applyBorder="1"/>
    <xf numFmtId="2" fontId="18" fillId="0" borderId="13" xfId="42" applyNumberFormat="1" applyFill="1" applyBorder="1" applyAlignment="1"/>
    <xf numFmtId="0" fontId="0" fillId="0" borderId="21" xfId="0" applyBorder="1"/>
    <xf numFmtId="17" fontId="0" fillId="0" borderId="18" xfId="0" applyNumberFormat="1" applyBorder="1"/>
    <xf numFmtId="2" fontId="18" fillId="0" borderId="18" xfId="42" applyNumberFormat="1" applyBorder="1" applyAlignment="1"/>
    <xf numFmtId="2" fontId="27" fillId="0" borderId="0" xfId="0" applyNumberFormat="1" applyFont="1" applyFill="1" applyBorder="1"/>
    <xf numFmtId="2" fontId="27" fillId="0" borderId="18" xfId="0" applyNumberFormat="1" applyFont="1" applyFill="1" applyBorder="1"/>
    <xf numFmtId="2" fontId="18" fillId="0" borderId="0" xfId="42" applyNumberFormat="1" applyFill="1" applyAlignment="1">
      <alignment horizontal="right"/>
    </xf>
    <xf numFmtId="4" fontId="18" fillId="0" borderId="0" xfId="42" applyNumberFormat="1" applyFill="1" applyAlignment="1">
      <alignment horizontal="right"/>
    </xf>
    <xf numFmtId="0" fontId="18" fillId="0" borderId="24" xfId="42" applyNumberFormat="1" applyFont="1" applyFill="1" applyBorder="1" applyAlignment="1">
      <alignment wrapText="1"/>
    </xf>
    <xf numFmtId="2" fontId="18" fillId="0" borderId="24" xfId="42" applyNumberFormat="1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3" fontId="18" fillId="0" borderId="0" xfId="42" applyNumberFormat="1" applyFont="1" applyAlignment="1">
      <alignment horizontal="center"/>
    </xf>
    <xf numFmtId="0" fontId="0" fillId="0" borderId="0" xfId="0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v>Natural Gas energy use vs HDD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'Pre-Retrofit'!$P$34:$P$45</c:f>
              <c:numCache>
                <c:formatCode>General</c:formatCode>
                <c:ptCount val="12"/>
                <c:pt idx="0">
                  <c:v>500</c:v>
                </c:pt>
                <c:pt idx="1">
                  <c:v>592</c:v>
                </c:pt>
                <c:pt idx="2">
                  <c:v>1086</c:v>
                </c:pt>
                <c:pt idx="3">
                  <c:v>1191</c:v>
                </c:pt>
                <c:pt idx="4">
                  <c:v>964</c:v>
                </c:pt>
                <c:pt idx="5">
                  <c:v>706</c:v>
                </c:pt>
                <c:pt idx="6">
                  <c:v>427</c:v>
                </c:pt>
                <c:pt idx="7">
                  <c:v>209</c:v>
                </c:pt>
                <c:pt idx="8">
                  <c:v>65</c:v>
                </c:pt>
                <c:pt idx="9">
                  <c:v>22</c:v>
                </c:pt>
                <c:pt idx="10">
                  <c:v>44</c:v>
                </c:pt>
                <c:pt idx="11">
                  <c:v>112</c:v>
                </c:pt>
              </c:numCache>
            </c:numRef>
          </c:xVal>
          <c:yVal>
            <c:numRef>
              <c:f>'Pre-Retrofit'!$D$34:$D$45</c:f>
              <c:numCache>
                <c:formatCode>0.00</c:formatCode>
                <c:ptCount val="12"/>
                <c:pt idx="0">
                  <c:v>4.6000000000000005</c:v>
                </c:pt>
                <c:pt idx="1">
                  <c:v>11.3</c:v>
                </c:pt>
                <c:pt idx="2">
                  <c:v>13.3</c:v>
                </c:pt>
                <c:pt idx="3">
                  <c:v>25.1</c:v>
                </c:pt>
                <c:pt idx="4">
                  <c:v>23.5</c:v>
                </c:pt>
                <c:pt idx="5">
                  <c:v>16.900000000000002</c:v>
                </c:pt>
                <c:pt idx="6">
                  <c:v>10.9</c:v>
                </c:pt>
                <c:pt idx="7">
                  <c:v>8.9</c:v>
                </c:pt>
                <c:pt idx="8">
                  <c:v>2.6</c:v>
                </c:pt>
                <c:pt idx="9">
                  <c:v>1.8</c:v>
                </c:pt>
                <c:pt idx="10">
                  <c:v>1.7000000000000002</c:v>
                </c:pt>
                <c:pt idx="11">
                  <c:v>1.6</c:v>
                </c:pt>
              </c:numCache>
            </c:numRef>
          </c:yVal>
        </c:ser>
        <c:axId val="110568576"/>
        <c:axId val="110570880"/>
      </c:scatterChart>
      <c:valAx>
        <c:axId val="110568576"/>
        <c:scaling>
          <c:orientation val="minMax"/>
        </c:scaling>
        <c:axPos val="b"/>
        <c:numFmt formatCode="General" sourceLinked="1"/>
        <c:tickLblPos val="nextTo"/>
        <c:crossAx val="110570880"/>
        <c:crosses val="autoZero"/>
        <c:crossBetween val="midCat"/>
      </c:valAx>
      <c:valAx>
        <c:axId val="110570880"/>
        <c:scaling>
          <c:orientation val="minMax"/>
        </c:scaling>
        <c:axPos val="l"/>
        <c:majorGridlines/>
        <c:numFmt formatCode="0.00" sourceLinked="1"/>
        <c:tickLblPos val="nextTo"/>
        <c:crossAx val="1105685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Newton Single</a:t>
            </a:r>
            <a:r>
              <a:rPr lang="en-US" baseline="0"/>
              <a:t> Family Natural Gas Use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0.16032501086105655"/>
          <c:y val="0.13928441236512243"/>
          <c:w val="0.70199463053389544"/>
          <c:h val="0.59817062797705756"/>
        </c:manualLayout>
      </c:layout>
      <c:barChart>
        <c:barDir val="col"/>
        <c:grouping val="clustered"/>
        <c:ser>
          <c:idx val="0"/>
          <c:order val="0"/>
          <c:tx>
            <c:strRef>
              <c:f>Gas!$C$5</c:f>
              <c:strCache>
                <c:ptCount val="1"/>
                <c:pt idx="0">
                  <c:v>therms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Gas!$A$8:$A$27</c:f>
              <c:numCache>
                <c:formatCode>mmm-yy</c:formatCode>
                <c:ptCount val="20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40735</c:v>
                </c:pt>
                <c:pt idx="8">
                  <c:v>40766</c:v>
                </c:pt>
                <c:pt idx="9">
                  <c:v>40797</c:v>
                </c:pt>
                <c:pt idx="10">
                  <c:v>40827</c:v>
                </c:pt>
                <c:pt idx="11">
                  <c:v>40858</c:v>
                </c:pt>
                <c:pt idx="12">
                  <c:v>40888</c:v>
                </c:pt>
                <c:pt idx="13">
                  <c:v>40920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</c:numCache>
            </c:numRef>
          </c:cat>
          <c:val>
            <c:numRef>
              <c:f>Gas!$C$8:$C$27</c:f>
              <c:numCache>
                <c:formatCode>General</c:formatCode>
                <c:ptCount val="20"/>
                <c:pt idx="0">
                  <c:v>246</c:v>
                </c:pt>
                <c:pt idx="1">
                  <c:v>295</c:v>
                </c:pt>
                <c:pt idx="2">
                  <c:v>157</c:v>
                </c:pt>
                <c:pt idx="3">
                  <c:v>91</c:v>
                </c:pt>
                <c:pt idx="4">
                  <c:v>48</c:v>
                </c:pt>
                <c:pt idx="5">
                  <c:v>19</c:v>
                </c:pt>
                <c:pt idx="6">
                  <c:v>15</c:v>
                </c:pt>
                <c:pt idx="7">
                  <c:v>12</c:v>
                </c:pt>
                <c:pt idx="8">
                  <c:v>15</c:v>
                </c:pt>
                <c:pt idx="9">
                  <c:v>16</c:v>
                </c:pt>
                <c:pt idx="10">
                  <c:v>30</c:v>
                </c:pt>
                <c:pt idx="11">
                  <c:v>45</c:v>
                </c:pt>
                <c:pt idx="12">
                  <c:v>68</c:v>
                </c:pt>
                <c:pt idx="13">
                  <c:v>72</c:v>
                </c:pt>
                <c:pt idx="14">
                  <c:v>70</c:v>
                </c:pt>
                <c:pt idx="15">
                  <c:v>39</c:v>
                </c:pt>
                <c:pt idx="16">
                  <c:v>24</c:v>
                </c:pt>
                <c:pt idx="17">
                  <c:v>17</c:v>
                </c:pt>
                <c:pt idx="18">
                  <c:v>12</c:v>
                </c:pt>
                <c:pt idx="19">
                  <c:v>9</c:v>
                </c:pt>
              </c:numCache>
            </c:numRef>
          </c:val>
        </c:ser>
        <c:axId val="123825152"/>
        <c:axId val="124974208"/>
      </c:barChart>
      <c:lineChart>
        <c:grouping val="standard"/>
        <c:ser>
          <c:idx val="1"/>
          <c:order val="1"/>
          <c:tx>
            <c:strRef>
              <c:f>Gas!$D$5</c:f>
              <c:strCache>
                <c:ptCount val="1"/>
                <c:pt idx="0">
                  <c:v>HDD</c:v>
                </c:pt>
              </c:strCache>
            </c:strRef>
          </c:tx>
          <c:cat>
            <c:numRef>
              <c:f>Gas!$A$8:$A$14</c:f>
              <c:numCache>
                <c:formatCode>mmm-yy</c:formatCode>
                <c:ptCount val="7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</c:numCache>
            </c:numRef>
          </c:cat>
          <c:val>
            <c:numRef>
              <c:f>Gas!$D$8:$D$27</c:f>
              <c:numCache>
                <c:formatCode>General</c:formatCode>
                <c:ptCount val="20"/>
                <c:pt idx="0">
                  <c:v>1110</c:v>
                </c:pt>
                <c:pt idx="1">
                  <c:v>1298</c:v>
                </c:pt>
                <c:pt idx="2">
                  <c:v>1070</c:v>
                </c:pt>
                <c:pt idx="3">
                  <c:v>885</c:v>
                </c:pt>
                <c:pt idx="4">
                  <c:v>502</c:v>
                </c:pt>
                <c:pt idx="5">
                  <c:v>268</c:v>
                </c:pt>
                <c:pt idx="6">
                  <c:v>113</c:v>
                </c:pt>
                <c:pt idx="7">
                  <c:v>20</c:v>
                </c:pt>
                <c:pt idx="8">
                  <c:v>31</c:v>
                </c:pt>
                <c:pt idx="9">
                  <c:v>108</c:v>
                </c:pt>
                <c:pt idx="10">
                  <c:v>418</c:v>
                </c:pt>
                <c:pt idx="11">
                  <c:v>563</c:v>
                </c:pt>
                <c:pt idx="12">
                  <c:v>882</c:v>
                </c:pt>
                <c:pt idx="13">
                  <c:v>1053</c:v>
                </c:pt>
                <c:pt idx="14">
                  <c:v>895</c:v>
                </c:pt>
                <c:pt idx="15">
                  <c:v>652</c:v>
                </c:pt>
                <c:pt idx="16">
                  <c:v>463</c:v>
                </c:pt>
                <c:pt idx="17">
                  <c:v>208</c:v>
                </c:pt>
                <c:pt idx="18">
                  <c:v>121</c:v>
                </c:pt>
                <c:pt idx="19">
                  <c:v>22</c:v>
                </c:pt>
              </c:numCache>
            </c:numRef>
          </c:val>
        </c:ser>
        <c:marker val="1"/>
        <c:axId val="125253888"/>
        <c:axId val="124976128"/>
      </c:lineChart>
      <c:dateAx>
        <c:axId val="123825152"/>
        <c:scaling>
          <c:orientation val="minMax"/>
        </c:scaling>
        <c:axPos val="b"/>
        <c:numFmt formatCode="mmm-yy" sourceLinked="1"/>
        <c:tickLblPos val="nextTo"/>
        <c:txPr>
          <a:bodyPr rot="-2340000"/>
          <a:lstStyle/>
          <a:p>
            <a:pPr>
              <a:defRPr/>
            </a:pPr>
            <a:endParaRPr lang="en-US"/>
          </a:p>
        </c:txPr>
        <c:crossAx val="124974208"/>
        <c:crosses val="autoZero"/>
        <c:auto val="1"/>
        <c:lblOffset val="100"/>
        <c:baseTimeUnit val="months"/>
      </c:dateAx>
      <c:valAx>
        <c:axId val="1249742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Therms/month</a:t>
                </a:r>
              </a:p>
            </c:rich>
          </c:tx>
          <c:layout/>
        </c:title>
        <c:numFmt formatCode="General" sourceLinked="1"/>
        <c:tickLblPos val="nextTo"/>
        <c:crossAx val="123825152"/>
        <c:crosses val="autoZero"/>
        <c:crossBetween val="between"/>
      </c:valAx>
      <c:valAx>
        <c:axId val="124976128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rgbClr val="FF0000"/>
                    </a:solidFill>
                  </a:rPr>
                  <a:t>Heating Degree Days </a:t>
                </a:r>
                <a:r>
                  <a:rPr lang="en-US" baseline="0">
                    <a:solidFill>
                      <a:srgbClr val="FF0000"/>
                    </a:solidFill>
                  </a:rPr>
                  <a:t> Base 65 F</a:t>
                </a:r>
                <a:endParaRPr lang="en-US">
                  <a:solidFill>
                    <a:srgbClr val="FF0000"/>
                  </a:solidFill>
                </a:endParaRP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en-US"/>
          </a:p>
        </c:txPr>
        <c:crossAx val="125253888"/>
        <c:crosses val="max"/>
        <c:crossBetween val="between"/>
      </c:valAx>
      <c:dateAx>
        <c:axId val="125253888"/>
        <c:scaling>
          <c:orientation val="minMax"/>
        </c:scaling>
        <c:delete val="1"/>
        <c:axPos val="b"/>
        <c:numFmt formatCode="mmm-yy" sourceLinked="1"/>
        <c:tickLblPos val="none"/>
        <c:crossAx val="124976128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35853118474607149"/>
          <c:y val="0.88564237630018983"/>
          <c:w val="0.26684364683247547"/>
          <c:h val="9.1209475551667266E-2"/>
        </c:manualLayout>
      </c:layout>
      <c:spPr>
        <a:ln>
          <a:solidFill>
            <a:schemeClr val="accent1">
              <a:shade val="50000"/>
            </a:schemeClr>
          </a:solidFill>
        </a:ln>
      </c:spPr>
    </c:legend>
    <c:plotVisOnly val="1"/>
    <c:dispBlanksAs val="gap"/>
  </c:chart>
  <c:spPr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Newton Single</a:t>
            </a:r>
            <a:r>
              <a:rPr lang="en-US" sz="1200" baseline="0"/>
              <a:t> Family Electrical Consumption </a:t>
            </a:r>
            <a:endParaRPr lang="en-US" sz="1200"/>
          </a:p>
        </c:rich>
      </c:tx>
      <c:layout>
        <c:manualLayout>
          <c:xMode val="edge"/>
          <c:yMode val="edge"/>
          <c:x val="0.13145144936353154"/>
          <c:y val="7.6608095040751487E-2"/>
        </c:manualLayout>
      </c:layout>
    </c:title>
    <c:plotArea>
      <c:layout>
        <c:manualLayout>
          <c:layoutTarget val="inner"/>
          <c:xMode val="edge"/>
          <c:yMode val="edge"/>
          <c:x val="0.15905796150481191"/>
          <c:y val="0.19480351414406533"/>
          <c:w val="0.7133039385529345"/>
          <c:h val="0.56173946677718356"/>
        </c:manualLayout>
      </c:layout>
      <c:barChart>
        <c:barDir val="col"/>
        <c:grouping val="clustered"/>
        <c:ser>
          <c:idx val="0"/>
          <c:order val="0"/>
          <c:tx>
            <c:strRef>
              <c:f>Elec!$B$5</c:f>
              <c:strCache>
                <c:ptCount val="1"/>
                <c:pt idx="0">
                  <c:v>Electric Consumption (kWh)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cat>
            <c:numRef>
              <c:f>Elec!$A$10:$A$28</c:f>
              <c:numCache>
                <c:formatCode>mmm-yy</c:formatCode>
                <c:ptCount val="1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</c:numCache>
            </c:numRef>
          </c:cat>
          <c:val>
            <c:numRef>
              <c:f>Elec!$B$10:$B$28</c:f>
              <c:numCache>
                <c:formatCode>General</c:formatCode>
                <c:ptCount val="19"/>
                <c:pt idx="0">
                  <c:v>892</c:v>
                </c:pt>
                <c:pt idx="1">
                  <c:v>921</c:v>
                </c:pt>
                <c:pt idx="2">
                  <c:v>891</c:v>
                </c:pt>
                <c:pt idx="3">
                  <c:v>673</c:v>
                </c:pt>
                <c:pt idx="4">
                  <c:v>690</c:v>
                </c:pt>
                <c:pt idx="5">
                  <c:v>698</c:v>
                </c:pt>
                <c:pt idx="6">
                  <c:v>724</c:v>
                </c:pt>
                <c:pt idx="7">
                  <c:v>867</c:v>
                </c:pt>
                <c:pt idx="8">
                  <c:v>767</c:v>
                </c:pt>
                <c:pt idx="9">
                  <c:v>705</c:v>
                </c:pt>
                <c:pt idx="10">
                  <c:v>503</c:v>
                </c:pt>
                <c:pt idx="11">
                  <c:v>465</c:v>
                </c:pt>
                <c:pt idx="12">
                  <c:v>569</c:v>
                </c:pt>
                <c:pt idx="13">
                  <c:v>478</c:v>
                </c:pt>
                <c:pt idx="14">
                  <c:v>455</c:v>
                </c:pt>
                <c:pt idx="15">
                  <c:v>449</c:v>
                </c:pt>
                <c:pt idx="16">
                  <c:v>461</c:v>
                </c:pt>
                <c:pt idx="17">
                  <c:v>624</c:v>
                </c:pt>
                <c:pt idx="18">
                  <c:v>824</c:v>
                </c:pt>
              </c:numCache>
            </c:numRef>
          </c:val>
        </c:ser>
        <c:ser>
          <c:idx val="1"/>
          <c:order val="1"/>
          <c:tx>
            <c:strRef>
              <c:f>Elec!$C$5</c:f>
              <c:strCache>
                <c:ptCount val="1"/>
                <c:pt idx="0">
                  <c:v>PV Production (kWh)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>
                  <a:alpha val="25000"/>
                </a:schemeClr>
              </a:solidFill>
            </a:ln>
          </c:spPr>
          <c:cat>
            <c:numRef>
              <c:f>Elec!$A$10:$A$28</c:f>
              <c:numCache>
                <c:formatCode>mmm-yy</c:formatCode>
                <c:ptCount val="1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</c:numCache>
            </c:numRef>
          </c:cat>
          <c:val>
            <c:numRef>
              <c:f>Elec!$C$10:$C$28</c:f>
              <c:numCache>
                <c:formatCode>General</c:formatCode>
                <c:ptCount val="19"/>
              </c:numCache>
            </c:numRef>
          </c:val>
        </c:ser>
        <c:gapWidth val="202"/>
        <c:overlap val="100"/>
        <c:axId val="150853120"/>
        <c:axId val="150855040"/>
      </c:barChart>
      <c:lineChart>
        <c:grouping val="standard"/>
        <c:ser>
          <c:idx val="2"/>
          <c:order val="2"/>
          <c:tx>
            <c:strRef>
              <c:f>Elec!$D$5</c:f>
              <c:strCache>
                <c:ptCount val="1"/>
                <c:pt idx="0">
                  <c:v>HDD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Elec!$A$10:$A$15</c:f>
              <c:numCache>
                <c:formatCode>mmm-yy</c:formatCode>
                <c:ptCount val="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</c:numCache>
            </c:numRef>
          </c:cat>
          <c:val>
            <c:numRef>
              <c:f>Elec!$D$10:$D$28</c:f>
              <c:numCache>
                <c:formatCode>General</c:formatCode>
                <c:ptCount val="19"/>
                <c:pt idx="0">
                  <c:v>1298</c:v>
                </c:pt>
                <c:pt idx="1">
                  <c:v>1070</c:v>
                </c:pt>
                <c:pt idx="2">
                  <c:v>885</c:v>
                </c:pt>
                <c:pt idx="3">
                  <c:v>502</c:v>
                </c:pt>
                <c:pt idx="4">
                  <c:v>268</c:v>
                </c:pt>
                <c:pt idx="5">
                  <c:v>113</c:v>
                </c:pt>
                <c:pt idx="6">
                  <c:v>20</c:v>
                </c:pt>
                <c:pt idx="7">
                  <c:v>31</c:v>
                </c:pt>
                <c:pt idx="8">
                  <c:v>108</c:v>
                </c:pt>
                <c:pt idx="9">
                  <c:v>418</c:v>
                </c:pt>
                <c:pt idx="10">
                  <c:v>563</c:v>
                </c:pt>
                <c:pt idx="11">
                  <c:v>882</c:v>
                </c:pt>
                <c:pt idx="12">
                  <c:v>1053</c:v>
                </c:pt>
                <c:pt idx="13">
                  <c:v>895</c:v>
                </c:pt>
                <c:pt idx="14">
                  <c:v>652</c:v>
                </c:pt>
                <c:pt idx="15">
                  <c:v>463</c:v>
                </c:pt>
                <c:pt idx="16">
                  <c:v>208</c:v>
                </c:pt>
                <c:pt idx="17">
                  <c:v>121</c:v>
                </c:pt>
                <c:pt idx="18">
                  <c:v>22</c:v>
                </c:pt>
              </c:numCache>
            </c:numRef>
          </c:val>
        </c:ser>
        <c:marker val="1"/>
        <c:axId val="150853120"/>
        <c:axId val="150855040"/>
      </c:lineChart>
      <c:lineChart>
        <c:grouping val="standard"/>
        <c:ser>
          <c:idx val="3"/>
          <c:order val="3"/>
          <c:tx>
            <c:strRef>
              <c:f>Elec!$E$5</c:f>
              <c:strCache>
                <c:ptCount val="1"/>
                <c:pt idx="0">
                  <c:v>CDD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Elec!$A$10:$A$15</c:f>
              <c:numCache>
                <c:formatCode>mmm-yy</c:formatCode>
                <c:ptCount val="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</c:numCache>
            </c:numRef>
          </c:cat>
          <c:val>
            <c:numRef>
              <c:f>Elec!$E$10:$E$28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63</c:v>
                </c:pt>
                <c:pt idx="5">
                  <c:v>122</c:v>
                </c:pt>
                <c:pt idx="6">
                  <c:v>309</c:v>
                </c:pt>
                <c:pt idx="7">
                  <c:v>202</c:v>
                </c:pt>
                <c:pt idx="8">
                  <c:v>105</c:v>
                </c:pt>
                <c:pt idx="9">
                  <c:v>15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23</c:v>
                </c:pt>
                <c:pt idx="15">
                  <c:v>26</c:v>
                </c:pt>
                <c:pt idx="16">
                  <c:v>60</c:v>
                </c:pt>
                <c:pt idx="17">
                  <c:v>128</c:v>
                </c:pt>
                <c:pt idx="18">
                  <c:v>291</c:v>
                </c:pt>
              </c:numCache>
            </c:numRef>
          </c:val>
        </c:ser>
        <c:marker val="1"/>
        <c:axId val="152379392"/>
        <c:axId val="152339968"/>
      </c:lineChart>
      <c:dateAx>
        <c:axId val="150853120"/>
        <c:scaling>
          <c:orientation val="minMax"/>
        </c:scaling>
        <c:axPos val="b"/>
        <c:numFmt formatCode="mmm-yy" sourceLinked="1"/>
        <c:tickLblPos val="nextTo"/>
        <c:txPr>
          <a:bodyPr rot="-2640000"/>
          <a:lstStyle/>
          <a:p>
            <a:pPr>
              <a:defRPr/>
            </a:pPr>
            <a:endParaRPr lang="en-US"/>
          </a:p>
        </c:txPr>
        <c:crossAx val="150855040"/>
        <c:crosses val="autoZero"/>
        <c:auto val="1"/>
        <c:lblOffset val="100"/>
        <c:baseTimeUnit val="months"/>
      </c:dateAx>
      <c:valAx>
        <c:axId val="15085504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kWh (monthly) &amp;</a:t>
                </a:r>
                <a:r>
                  <a:rPr lang="en-US" baseline="0"/>
                  <a:t> </a:t>
                </a:r>
                <a:r>
                  <a:rPr lang="en-US" baseline="0">
                    <a:solidFill>
                      <a:srgbClr val="FF0000"/>
                    </a:solidFill>
                  </a:rPr>
                  <a:t>HDD (65F)</a:t>
                </a:r>
                <a:endParaRPr lang="en-US">
                  <a:solidFill>
                    <a:srgbClr val="FF0000"/>
                  </a:solidFill>
                </a:endParaRPr>
              </a:p>
            </c:rich>
          </c:tx>
          <c:layout/>
        </c:title>
        <c:numFmt formatCode="General" sourceLinked="1"/>
        <c:tickLblPos val="nextTo"/>
        <c:crossAx val="150853120"/>
        <c:crosses val="autoZero"/>
        <c:crossBetween val="between"/>
        <c:majorUnit val="200"/>
      </c:valAx>
      <c:valAx>
        <c:axId val="152339968"/>
        <c:scaling>
          <c:orientation val="minMax"/>
          <c:min val="-10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chemeClr val="accent1"/>
                    </a:solidFill>
                  </a:rPr>
                  <a:t>CDD (65 F)</a:t>
                </a:r>
              </a:p>
            </c:rich>
          </c:tx>
          <c:layout/>
          <c:spPr>
            <a:noFill/>
            <a:ln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chemeClr val="accent1"/>
                </a:solidFill>
              </a:defRPr>
            </a:pPr>
            <a:endParaRPr lang="en-US"/>
          </a:p>
        </c:txPr>
        <c:crossAx val="152379392"/>
        <c:crosses val="max"/>
        <c:crossBetween val="between"/>
        <c:majorUnit val="20"/>
      </c:valAx>
      <c:dateAx>
        <c:axId val="152379392"/>
        <c:scaling>
          <c:orientation val="minMax"/>
        </c:scaling>
        <c:delete val="1"/>
        <c:axPos val="b"/>
        <c:numFmt formatCode="mmm-yy" sourceLinked="1"/>
        <c:tickLblPos val="none"/>
        <c:crossAx val="152339968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1730912223168637"/>
          <c:y val="0.82399778974996041"/>
          <c:w val="0.79247134733158364"/>
          <c:h val="0.11129410139522072"/>
        </c:manualLayout>
      </c:layout>
      <c:spPr>
        <a:ln>
          <a:solidFill>
            <a:schemeClr val="accent1">
              <a:shade val="50000"/>
            </a:schemeClr>
          </a:solidFill>
        </a:ln>
      </c:spPr>
    </c:legend>
    <c:plotVisOnly val="1"/>
    <c:dispBlanksAs val="gap"/>
  </c:chart>
  <c:spPr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032174103237096"/>
          <c:y val="2.9178302712161003E-2"/>
          <c:w val="0.73341207349081361"/>
          <c:h val="0.7211245990084576"/>
        </c:manualLayout>
      </c:layout>
      <c:barChart>
        <c:barDir val="col"/>
        <c:grouping val="clustered"/>
        <c:ser>
          <c:idx val="0"/>
          <c:order val="0"/>
          <c:tx>
            <c:v>Source MMBtu</c:v>
          </c:tx>
          <c:spPr>
            <a:solidFill>
              <a:srgbClr val="FFFF66"/>
            </a:solidFill>
            <a:ln>
              <a:solidFill>
                <a:schemeClr val="tx1"/>
              </a:solidFill>
            </a:ln>
          </c:spPr>
          <c:cat>
            <c:numRef>
              <c:f>'Energy Use'!$J$20:$J$31</c:f>
              <c:numCache>
                <c:formatCode>mmm-yy</c:formatCode>
                <c:ptCount val="12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</c:numCache>
            </c:numRef>
          </c:cat>
          <c:val>
            <c:numRef>
              <c:f>'Energy Use'!$Y$20:$Y$31</c:f>
              <c:numCache>
                <c:formatCode>0.00</c:formatCode>
                <c:ptCount val="12"/>
                <c:pt idx="0">
                  <c:v>11.453797139999999</c:v>
                </c:pt>
                <c:pt idx="1">
                  <c:v>10.418555139999999</c:v>
                </c:pt>
                <c:pt idx="2">
                  <c:v>11.177591099999999</c:v>
                </c:pt>
                <c:pt idx="3">
                  <c:v>10.445408260000001</c:v>
                </c:pt>
                <c:pt idx="4">
                  <c:v>12.4203303</c:v>
                </c:pt>
                <c:pt idx="5">
                  <c:v>14.024669979999999</c:v>
                </c:pt>
                <c:pt idx="6">
                  <c:v>12.777922759999999</c:v>
                </c:pt>
                <c:pt idx="7">
                  <c:v>9.2700361000000004</c:v>
                </c:pt>
                <c:pt idx="8">
                  <c:v>7.6311395799999993</c:v>
                </c:pt>
                <c:pt idx="9">
                  <c:v>7.0350326199999991</c:v>
                </c:pt>
                <c:pt idx="10">
                  <c:v>8.3696380799999996</c:v>
                </c:pt>
                <c:pt idx="11">
                  <c:v>10.335422079999999</c:v>
                </c:pt>
              </c:numCache>
            </c:numRef>
          </c:val>
        </c:ser>
        <c:axId val="99938688"/>
        <c:axId val="99940608"/>
      </c:barChart>
      <c:lineChart>
        <c:grouping val="standard"/>
        <c:ser>
          <c:idx val="1"/>
          <c:order val="1"/>
          <c:tx>
            <c:v>HDD</c:v>
          </c:tx>
          <c:val>
            <c:numRef>
              <c:f>HDD!$B$30:$B$41</c:f>
              <c:numCache>
                <c:formatCode>General</c:formatCode>
                <c:ptCount val="12"/>
                <c:pt idx="0">
                  <c:v>31</c:v>
                </c:pt>
                <c:pt idx="1">
                  <c:v>108</c:v>
                </c:pt>
                <c:pt idx="2">
                  <c:v>418</c:v>
                </c:pt>
                <c:pt idx="3">
                  <c:v>563</c:v>
                </c:pt>
                <c:pt idx="4">
                  <c:v>882</c:v>
                </c:pt>
                <c:pt idx="5">
                  <c:v>1053</c:v>
                </c:pt>
                <c:pt idx="6">
                  <c:v>895</c:v>
                </c:pt>
                <c:pt idx="7">
                  <c:v>652</c:v>
                </c:pt>
                <c:pt idx="8">
                  <c:v>463</c:v>
                </c:pt>
                <c:pt idx="9">
                  <c:v>208</c:v>
                </c:pt>
                <c:pt idx="10">
                  <c:v>121</c:v>
                </c:pt>
                <c:pt idx="11">
                  <c:v>22</c:v>
                </c:pt>
              </c:numCache>
            </c:numRef>
          </c:val>
        </c:ser>
        <c:ser>
          <c:idx val="2"/>
          <c:order val="2"/>
          <c:tx>
            <c:v>CDD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CDD!$B$21:$B$32</c:f>
              <c:numCache>
                <c:formatCode>General</c:formatCode>
                <c:ptCount val="12"/>
                <c:pt idx="0">
                  <c:v>202</c:v>
                </c:pt>
                <c:pt idx="1">
                  <c:v>105</c:v>
                </c:pt>
                <c:pt idx="2">
                  <c:v>15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23</c:v>
                </c:pt>
                <c:pt idx="8">
                  <c:v>26</c:v>
                </c:pt>
                <c:pt idx="9">
                  <c:v>60</c:v>
                </c:pt>
                <c:pt idx="10">
                  <c:v>128</c:v>
                </c:pt>
                <c:pt idx="11">
                  <c:v>291</c:v>
                </c:pt>
              </c:numCache>
            </c:numRef>
          </c:val>
        </c:ser>
        <c:marker val="1"/>
        <c:axId val="100935168"/>
        <c:axId val="100933632"/>
      </c:lineChart>
      <c:dateAx>
        <c:axId val="99938688"/>
        <c:scaling>
          <c:orientation val="minMax"/>
        </c:scaling>
        <c:axPos val="b"/>
        <c:numFmt formatCode="mmm-yy" sourceLinked="1"/>
        <c:tickLblPos val="nextTo"/>
        <c:crossAx val="99940608"/>
        <c:crosses val="autoZero"/>
        <c:auto val="1"/>
        <c:lblOffset val="100"/>
      </c:dateAx>
      <c:valAx>
        <c:axId val="99940608"/>
        <c:scaling>
          <c:orientation val="minMax"/>
        </c:scaling>
        <c:axPos val="l"/>
        <c:majorGridlines/>
        <c:numFmt formatCode="0" sourceLinked="0"/>
        <c:tickLblPos val="nextTo"/>
        <c:crossAx val="99938688"/>
        <c:crosses val="autoZero"/>
        <c:crossBetween val="between"/>
      </c:valAx>
      <c:valAx>
        <c:axId val="100933632"/>
        <c:scaling>
          <c:orientation val="minMax"/>
        </c:scaling>
        <c:axPos val="r"/>
        <c:numFmt formatCode="General" sourceLinked="1"/>
        <c:tickLblPos val="nextTo"/>
        <c:crossAx val="100935168"/>
        <c:crosses val="max"/>
        <c:crossBetween val="between"/>
      </c:valAx>
      <c:catAx>
        <c:axId val="100935168"/>
        <c:scaling>
          <c:orientation val="minMax"/>
        </c:scaling>
        <c:delete val="1"/>
        <c:axPos val="b"/>
        <c:tickLblPos val="none"/>
        <c:crossAx val="100933632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21769991251093629"/>
          <c:y val="0.91074260717410394"/>
          <c:w val="0.56459995625546855"/>
          <c:h val="8.0368503937007854E-2"/>
        </c:manualLayout>
      </c:layout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v>Natural Gas use vs HDD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'Weather Lin Regr Analysis'!$G$9:$G$20</c:f>
              <c:numCache>
                <c:formatCode>General</c:formatCode>
                <c:ptCount val="12"/>
                <c:pt idx="0">
                  <c:v>31</c:v>
                </c:pt>
                <c:pt idx="1">
                  <c:v>108</c:v>
                </c:pt>
                <c:pt idx="2">
                  <c:v>418</c:v>
                </c:pt>
                <c:pt idx="3">
                  <c:v>563</c:v>
                </c:pt>
                <c:pt idx="4">
                  <c:v>882</c:v>
                </c:pt>
                <c:pt idx="5">
                  <c:v>1053</c:v>
                </c:pt>
                <c:pt idx="6">
                  <c:v>895</c:v>
                </c:pt>
                <c:pt idx="7">
                  <c:v>652</c:v>
                </c:pt>
                <c:pt idx="8">
                  <c:v>463</c:v>
                </c:pt>
                <c:pt idx="9">
                  <c:v>208</c:v>
                </c:pt>
                <c:pt idx="10">
                  <c:v>121</c:v>
                </c:pt>
                <c:pt idx="11">
                  <c:v>22</c:v>
                </c:pt>
              </c:numCache>
            </c:numRef>
          </c:xVal>
          <c:yVal>
            <c:numRef>
              <c:f>'Weather Lin Regr Analysis'!$E$9:$E$20</c:f>
              <c:numCache>
                <c:formatCode>0.00</c:formatCode>
                <c:ptCount val="12"/>
                <c:pt idx="0">
                  <c:v>1.5</c:v>
                </c:pt>
                <c:pt idx="1">
                  <c:v>1.6</c:v>
                </c:pt>
                <c:pt idx="2">
                  <c:v>3</c:v>
                </c:pt>
                <c:pt idx="3">
                  <c:v>4.5</c:v>
                </c:pt>
                <c:pt idx="4">
                  <c:v>6.8000000000000007</c:v>
                </c:pt>
                <c:pt idx="5">
                  <c:v>7.2</c:v>
                </c:pt>
                <c:pt idx="6">
                  <c:v>7</c:v>
                </c:pt>
                <c:pt idx="7">
                  <c:v>3.9000000000000004</c:v>
                </c:pt>
                <c:pt idx="8">
                  <c:v>2.4000000000000004</c:v>
                </c:pt>
                <c:pt idx="9">
                  <c:v>1.7000000000000002</c:v>
                </c:pt>
                <c:pt idx="10">
                  <c:v>1.2000000000000002</c:v>
                </c:pt>
                <c:pt idx="11">
                  <c:v>0.9</c:v>
                </c:pt>
              </c:numCache>
            </c:numRef>
          </c:yVal>
        </c:ser>
        <c:axId val="102680448"/>
        <c:axId val="102681984"/>
      </c:scatterChart>
      <c:valAx>
        <c:axId val="102680448"/>
        <c:scaling>
          <c:orientation val="minMax"/>
        </c:scaling>
        <c:axPos val="b"/>
        <c:numFmt formatCode="General" sourceLinked="1"/>
        <c:tickLblPos val="nextTo"/>
        <c:crossAx val="102681984"/>
        <c:crosses val="autoZero"/>
        <c:crossBetween val="midCat"/>
      </c:valAx>
      <c:valAx>
        <c:axId val="102681984"/>
        <c:scaling>
          <c:orientation val="minMax"/>
        </c:scaling>
        <c:axPos val="l"/>
        <c:majorGridlines/>
        <c:numFmt formatCode="0.00" sourceLinked="1"/>
        <c:tickLblPos val="nextTo"/>
        <c:crossAx val="10268044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54</xdr:row>
      <xdr:rowOff>66675</xdr:rowOff>
    </xdr:from>
    <xdr:to>
      <xdr:col>18</xdr:col>
      <xdr:colOff>0</xdr:colOff>
      <xdr:row>68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3</xdr:row>
      <xdr:rowOff>175260</xdr:rowOff>
    </xdr:from>
    <xdr:to>
      <xdr:col>15</xdr:col>
      <xdr:colOff>213360</xdr:colOff>
      <xdr:row>23</xdr:row>
      <xdr:rowOff>175260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2</xdr:row>
      <xdr:rowOff>160020</xdr:rowOff>
    </xdr:from>
    <xdr:to>
      <xdr:col>15</xdr:col>
      <xdr:colOff>548640</xdr:colOff>
      <xdr:row>25</xdr:row>
      <xdr:rowOff>121920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0.89441</cdr:x>
      <cdr:y>0.58903</cdr:y>
    </cdr:from>
    <cdr:to>
      <cdr:x>0.94444</cdr:x>
      <cdr:y>0.81851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631065" y="2221776"/>
          <a:ext cx="259045" cy="8655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44</xdr:row>
      <xdr:rowOff>47625</xdr:rowOff>
    </xdr:from>
    <xdr:to>
      <xdr:col>15</xdr:col>
      <xdr:colOff>200025</xdr:colOff>
      <xdr:row>59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0.00417</cdr:x>
      <cdr:y>0</cdr:y>
    </cdr:from>
    <cdr:to>
      <cdr:x>0.06875</cdr:x>
      <cdr:y>0.72917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833434" y="852485"/>
          <a:ext cx="2000250" cy="2952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/>
            <a:t>Source</a:t>
          </a:r>
          <a:r>
            <a:rPr lang="en-US" sz="1000" b="1" baseline="0"/>
            <a:t> Energy MMBtu (monthly)</a:t>
          </a:r>
          <a:endParaRPr lang="en-US" sz="1000" b="1"/>
        </a:p>
      </cdr:txBody>
    </cdr:sp>
  </cdr:relSizeAnchor>
  <cdr:relSizeAnchor xmlns:cdr="http://schemas.openxmlformats.org/drawingml/2006/chartDrawing">
    <cdr:from>
      <cdr:x>0.93333</cdr:x>
      <cdr:y>0</cdr:y>
    </cdr:from>
    <cdr:to>
      <cdr:x>0.99167</cdr:x>
      <cdr:y>0.49653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3719513" y="547686"/>
          <a:ext cx="1362075" cy="266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/>
            <a:t>HDD &amp; CDD (65F)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21</xdr:row>
      <xdr:rowOff>152400</xdr:rowOff>
    </xdr:from>
    <xdr:to>
      <xdr:col>10</xdr:col>
      <xdr:colOff>57150</xdr:colOff>
      <xdr:row>36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73"/>
  <sheetViews>
    <sheetView topLeftCell="A26" workbookViewId="0">
      <selection activeCell="O48" sqref="O48"/>
    </sheetView>
  </sheetViews>
  <sheetFormatPr defaultRowHeight="15"/>
  <cols>
    <col min="1" max="13" width="9.140625" style="17"/>
    <col min="14" max="14" width="9.5703125" style="17" bestFit="1" customWidth="1"/>
    <col min="15" max="17" width="9.140625" style="17"/>
    <col min="18" max="18" width="10.42578125" style="17" customWidth="1"/>
    <col min="19" max="19" width="10.7109375" style="17" customWidth="1"/>
    <col min="20" max="16384" width="9.140625" style="17"/>
  </cols>
  <sheetData>
    <row r="2" spans="1:11">
      <c r="B2" s="17" t="s">
        <v>40</v>
      </c>
      <c r="E2" s="26"/>
    </row>
    <row r="3" spans="1:11">
      <c r="A3" s="30"/>
      <c r="B3" s="31" t="s">
        <v>38</v>
      </c>
      <c r="C3" s="31" t="s">
        <v>42</v>
      </c>
      <c r="D3" s="31"/>
      <c r="E3" s="31"/>
      <c r="F3" s="31"/>
      <c r="G3" s="31"/>
      <c r="H3" s="31"/>
      <c r="I3" s="31" t="s">
        <v>38</v>
      </c>
      <c r="J3" s="31" t="s">
        <v>43</v>
      </c>
      <c r="K3" s="32"/>
    </row>
    <row r="4" spans="1:11">
      <c r="A4" s="33" t="s">
        <v>41</v>
      </c>
      <c r="B4" s="28"/>
      <c r="C4" s="28"/>
      <c r="D4" s="28"/>
      <c r="E4" s="28"/>
      <c r="F4" s="28"/>
      <c r="G4" s="28"/>
      <c r="H4" s="28" t="s">
        <v>41</v>
      </c>
      <c r="I4" s="28"/>
      <c r="J4" s="28"/>
      <c r="K4" s="34"/>
    </row>
    <row r="5" spans="1:11">
      <c r="A5" s="33"/>
      <c r="B5" s="28"/>
      <c r="C5" s="28" t="s">
        <v>0</v>
      </c>
      <c r="D5" s="28"/>
      <c r="E5" s="28"/>
      <c r="F5" s="28"/>
      <c r="G5" s="28"/>
      <c r="H5" s="28"/>
      <c r="I5" s="28"/>
      <c r="J5" s="28" t="s">
        <v>44</v>
      </c>
      <c r="K5" s="34"/>
    </row>
    <row r="6" spans="1:11">
      <c r="A6" s="35">
        <v>40065</v>
      </c>
      <c r="B6" s="6"/>
      <c r="C6" s="36">
        <v>17</v>
      </c>
      <c r="D6" s="27"/>
      <c r="E6" s="28"/>
      <c r="F6" s="28"/>
      <c r="G6" s="28"/>
      <c r="H6" s="37">
        <v>40071</v>
      </c>
      <c r="I6" s="6"/>
      <c r="J6" s="36">
        <v>961</v>
      </c>
      <c r="K6" s="38"/>
    </row>
    <row r="7" spans="1:11">
      <c r="A7" s="35">
        <v>40095</v>
      </c>
      <c r="B7" s="6"/>
      <c r="C7" s="36">
        <v>46</v>
      </c>
      <c r="D7" s="27"/>
      <c r="E7" s="28"/>
      <c r="F7" s="28"/>
      <c r="G7" s="28"/>
      <c r="H7" s="37">
        <v>40101</v>
      </c>
      <c r="I7" s="6"/>
      <c r="J7" s="36">
        <v>535</v>
      </c>
      <c r="K7" s="38"/>
    </row>
    <row r="8" spans="1:11">
      <c r="A8" s="35">
        <v>40126</v>
      </c>
      <c r="B8" s="27"/>
      <c r="C8" s="36">
        <v>113</v>
      </c>
      <c r="D8" s="27"/>
      <c r="E8" s="28"/>
      <c r="F8" s="28"/>
      <c r="G8" s="28"/>
      <c r="H8" s="37">
        <v>40133</v>
      </c>
      <c r="I8" s="27"/>
      <c r="J8" s="36">
        <v>541</v>
      </c>
      <c r="K8" s="38"/>
    </row>
    <row r="9" spans="1:11">
      <c r="A9" s="35">
        <v>40156</v>
      </c>
      <c r="B9" s="27"/>
      <c r="C9" s="36">
        <v>133</v>
      </c>
      <c r="D9" s="27"/>
      <c r="E9" s="28"/>
      <c r="F9" s="28"/>
      <c r="G9" s="28"/>
      <c r="H9" s="37">
        <v>40162</v>
      </c>
      <c r="I9" s="27"/>
      <c r="J9" s="36">
        <v>489</v>
      </c>
      <c r="K9" s="38"/>
    </row>
    <row r="10" spans="1:11">
      <c r="A10" s="35">
        <v>40188</v>
      </c>
      <c r="B10" s="27"/>
      <c r="C10" s="36">
        <v>251</v>
      </c>
      <c r="D10" s="27"/>
      <c r="E10" s="28"/>
      <c r="F10" s="28"/>
      <c r="G10" s="28"/>
      <c r="H10" s="37">
        <v>40193</v>
      </c>
      <c r="I10" s="27"/>
      <c r="J10" s="36">
        <v>720</v>
      </c>
      <c r="K10" s="38"/>
    </row>
    <row r="11" spans="1:11">
      <c r="A11" s="35">
        <v>40219</v>
      </c>
      <c r="B11" s="27"/>
      <c r="C11" s="36">
        <v>235</v>
      </c>
      <c r="D11" s="27"/>
      <c r="E11" s="28"/>
      <c r="F11" s="28"/>
      <c r="G11" s="28"/>
      <c r="H11" s="37">
        <v>40225</v>
      </c>
      <c r="I11" s="27"/>
      <c r="J11" s="36">
        <v>419</v>
      </c>
      <c r="K11" s="38"/>
    </row>
    <row r="12" spans="1:11">
      <c r="A12" s="35">
        <v>40247</v>
      </c>
      <c r="B12" s="27"/>
      <c r="C12" s="36">
        <v>169</v>
      </c>
      <c r="D12" s="27"/>
      <c r="E12" s="28"/>
      <c r="F12" s="28"/>
      <c r="G12" s="28"/>
      <c r="H12" s="37">
        <v>40254</v>
      </c>
      <c r="I12" s="27"/>
      <c r="J12" s="36">
        <v>334</v>
      </c>
      <c r="K12" s="38"/>
    </row>
    <row r="13" spans="1:11">
      <c r="A13" s="35">
        <v>40278</v>
      </c>
      <c r="B13" s="27"/>
      <c r="C13" s="36">
        <v>109</v>
      </c>
      <c r="D13" s="27"/>
      <c r="E13" s="28"/>
      <c r="F13" s="28"/>
      <c r="G13" s="28"/>
      <c r="H13" s="37">
        <v>40283</v>
      </c>
      <c r="I13" s="27"/>
      <c r="J13" s="36">
        <v>367</v>
      </c>
      <c r="K13" s="38"/>
    </row>
    <row r="14" spans="1:11">
      <c r="A14" s="35">
        <v>40308</v>
      </c>
      <c r="B14" s="27"/>
      <c r="C14" s="36">
        <v>89</v>
      </c>
      <c r="D14" s="27"/>
      <c r="E14" s="28"/>
      <c r="F14" s="28"/>
      <c r="G14" s="28"/>
      <c r="H14" s="37">
        <v>40315</v>
      </c>
      <c r="I14" s="27"/>
      <c r="J14" s="36">
        <v>438</v>
      </c>
      <c r="K14" s="38"/>
    </row>
    <row r="15" spans="1:11">
      <c r="A15" s="35">
        <v>40339</v>
      </c>
      <c r="B15" s="27"/>
      <c r="C15" s="36">
        <v>26</v>
      </c>
      <c r="D15" s="27"/>
      <c r="E15" s="28"/>
      <c r="F15" s="28"/>
      <c r="G15" s="28"/>
      <c r="H15" s="37">
        <v>40345</v>
      </c>
      <c r="I15" s="27"/>
      <c r="J15" s="36">
        <v>672</v>
      </c>
      <c r="K15" s="38"/>
    </row>
    <row r="16" spans="1:11">
      <c r="A16" s="35">
        <v>40369</v>
      </c>
      <c r="B16" s="27"/>
      <c r="C16" s="36">
        <v>18</v>
      </c>
      <c r="D16" s="27"/>
      <c r="E16" s="28"/>
      <c r="F16" s="28"/>
      <c r="G16" s="28"/>
      <c r="H16" s="37">
        <v>40378</v>
      </c>
      <c r="I16" s="27"/>
      <c r="J16" s="36">
        <v>1276</v>
      </c>
      <c r="K16" s="38"/>
    </row>
    <row r="17" spans="1:24">
      <c r="A17" s="35">
        <v>40400</v>
      </c>
      <c r="B17" s="27"/>
      <c r="C17" s="36">
        <v>17</v>
      </c>
      <c r="D17" s="29">
        <f>SUM(C6:C17)</f>
        <v>1223</v>
      </c>
      <c r="E17" s="28"/>
      <c r="F17" s="28"/>
      <c r="G17" s="28"/>
      <c r="H17" s="37">
        <v>40406</v>
      </c>
      <c r="I17" s="27"/>
      <c r="J17" s="36">
        <v>1016</v>
      </c>
      <c r="K17" s="39">
        <f>SUM(J6:J17)</f>
        <v>7768</v>
      </c>
    </row>
    <row r="18" spans="1:24">
      <c r="A18" s="35">
        <v>40431</v>
      </c>
      <c r="B18" s="27"/>
      <c r="C18" s="36">
        <v>16</v>
      </c>
      <c r="D18" s="29">
        <f>SUM(C7:C18)</f>
        <v>1222</v>
      </c>
      <c r="E18" s="28"/>
      <c r="F18" s="28"/>
      <c r="G18" s="28"/>
      <c r="H18" s="37">
        <v>40436</v>
      </c>
      <c r="I18" s="27"/>
      <c r="J18" s="36">
        <v>832</v>
      </c>
      <c r="K18" s="39">
        <f>SUM(J7:J18)</f>
        <v>7639</v>
      </c>
    </row>
    <row r="19" spans="1:24">
      <c r="A19" s="35">
        <v>40461</v>
      </c>
      <c r="B19" s="27"/>
      <c r="C19" s="36">
        <v>30</v>
      </c>
      <c r="D19" s="29">
        <f>SUM(C8:C19)</f>
        <v>1206</v>
      </c>
      <c r="E19" s="28"/>
      <c r="F19" s="28"/>
      <c r="G19" s="28"/>
      <c r="H19" s="37">
        <v>40470</v>
      </c>
      <c r="I19" s="27"/>
      <c r="J19" s="36">
        <v>561</v>
      </c>
      <c r="K19" s="39">
        <f>SUM(J8:J19)</f>
        <v>7665</v>
      </c>
    </row>
    <row r="20" spans="1:24">
      <c r="A20" s="40"/>
      <c r="B20" s="41"/>
      <c r="C20" s="42"/>
      <c r="D20" s="42"/>
      <c r="E20" s="42"/>
      <c r="F20" s="42"/>
      <c r="G20" s="42"/>
      <c r="H20" s="42"/>
      <c r="I20" s="42"/>
      <c r="J20" s="42"/>
      <c r="K20" s="43"/>
    </row>
    <row r="24" spans="1:24">
      <c r="A24" s="52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2"/>
    </row>
    <row r="25" spans="1:24">
      <c r="A25" s="33"/>
      <c r="B25" s="28"/>
      <c r="C25" s="28" t="s">
        <v>28</v>
      </c>
      <c r="D25" s="28"/>
      <c r="E25" s="36">
        <f>1/E27</f>
        <v>292.99736302373282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34"/>
    </row>
    <row r="26" spans="1:24">
      <c r="A26" s="33"/>
      <c r="B26" s="28"/>
      <c r="C26" s="28" t="s">
        <v>25</v>
      </c>
      <c r="D26" s="28"/>
      <c r="E26" s="53">
        <f>100000/1000000</f>
        <v>0.1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34"/>
    </row>
    <row r="27" spans="1:24">
      <c r="A27" s="33"/>
      <c r="B27" s="28"/>
      <c r="C27" s="28" t="s">
        <v>24</v>
      </c>
      <c r="D27" s="28"/>
      <c r="E27" s="28">
        <f>3413/1000000</f>
        <v>3.4129999999999998E-3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34"/>
    </row>
    <row r="28" spans="1:24">
      <c r="A28" s="33"/>
      <c r="B28" s="28" t="s">
        <v>27</v>
      </c>
      <c r="C28" s="28"/>
      <c r="D28" s="28"/>
      <c r="E28" s="28">
        <v>3.34</v>
      </c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34"/>
    </row>
    <row r="29" spans="1:24">
      <c r="A29" s="33"/>
      <c r="B29" s="28" t="s">
        <v>26</v>
      </c>
      <c r="C29" s="28"/>
      <c r="D29" s="28"/>
      <c r="E29" s="28">
        <v>1.0469999999999999</v>
      </c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34"/>
    </row>
    <row r="30" spans="1:24">
      <c r="A30" s="54"/>
      <c r="B30" s="6"/>
      <c r="C30" s="6" t="s">
        <v>47</v>
      </c>
      <c r="D30" s="6"/>
      <c r="E30" s="6"/>
      <c r="F30" s="6"/>
      <c r="G30" s="6"/>
      <c r="H30" s="6"/>
      <c r="I30" s="6"/>
      <c r="J30" s="129" t="s">
        <v>2</v>
      </c>
      <c r="K30" s="129"/>
      <c r="L30" s="6" t="s">
        <v>30</v>
      </c>
      <c r="M30" s="6"/>
      <c r="N30" s="6" t="s">
        <v>21</v>
      </c>
      <c r="O30" s="6" t="s">
        <v>22</v>
      </c>
      <c r="P30" s="6"/>
      <c r="Q30" s="6"/>
      <c r="R30" s="6"/>
      <c r="S30" s="6" t="s">
        <v>48</v>
      </c>
      <c r="T30" s="6"/>
      <c r="U30" s="6"/>
      <c r="V30" s="6"/>
      <c r="W30" s="6"/>
      <c r="X30" s="55"/>
    </row>
    <row r="31" spans="1:24">
      <c r="A31" s="54"/>
      <c r="B31" s="6"/>
      <c r="C31" s="6" t="s">
        <v>49</v>
      </c>
      <c r="D31" s="6" t="s">
        <v>21</v>
      </c>
      <c r="E31" s="6" t="s">
        <v>22</v>
      </c>
      <c r="F31" s="6"/>
      <c r="G31" s="6" t="s">
        <v>20</v>
      </c>
      <c r="H31" s="6" t="s">
        <v>23</v>
      </c>
      <c r="I31" s="6"/>
      <c r="J31" s="27" t="s">
        <v>20</v>
      </c>
      <c r="K31" s="27"/>
      <c r="L31" s="6"/>
      <c r="M31" s="6"/>
      <c r="N31" s="6"/>
      <c r="O31" s="6"/>
      <c r="P31" s="6" t="s">
        <v>1</v>
      </c>
      <c r="Q31" s="6" t="s">
        <v>6</v>
      </c>
      <c r="R31" s="6"/>
      <c r="S31" s="6" t="s">
        <v>20</v>
      </c>
      <c r="T31" s="6" t="s">
        <v>23</v>
      </c>
      <c r="U31" s="6"/>
      <c r="V31" s="6" t="s">
        <v>21</v>
      </c>
      <c r="W31" s="6" t="s">
        <v>22</v>
      </c>
      <c r="X31" s="55"/>
    </row>
    <row r="32" spans="1:24">
      <c r="A32" s="5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55"/>
    </row>
    <row r="33" spans="1:24">
      <c r="A33" s="54"/>
      <c r="B33" s="37">
        <v>40057</v>
      </c>
      <c r="C33" s="36">
        <f>C6</f>
        <v>17</v>
      </c>
      <c r="D33" s="56">
        <f>C33*E$26</f>
        <v>1.7000000000000002</v>
      </c>
      <c r="E33" s="56">
        <f>D33*E$29</f>
        <v>1.7799</v>
      </c>
      <c r="F33" s="6"/>
      <c r="G33" s="56">
        <f>D33*E$25</f>
        <v>498.09551714034586</v>
      </c>
      <c r="H33" s="56">
        <f>E33*E$25</f>
        <v>521.50600644594203</v>
      </c>
      <c r="I33" s="56"/>
      <c r="J33" s="36">
        <f>J6</f>
        <v>961</v>
      </c>
      <c r="K33" s="27"/>
      <c r="L33" s="6">
        <f>J33*E$28</f>
        <v>3209.74</v>
      </c>
      <c r="M33" s="6"/>
      <c r="N33" s="56">
        <f>J33*E$27</f>
        <v>3.2798929999999999</v>
      </c>
      <c r="O33" s="56">
        <f>L33*E$27</f>
        <v>10.954842619999999</v>
      </c>
      <c r="P33" s="6">
        <f>B79</f>
        <v>0</v>
      </c>
      <c r="Q33" s="6">
        <f>B58</f>
        <v>0</v>
      </c>
      <c r="R33" s="6"/>
      <c r="S33" s="56">
        <f>G33+J33</f>
        <v>1459.0955171403459</v>
      </c>
      <c r="T33" s="56">
        <f>H33+L33</f>
        <v>3731.2460064459419</v>
      </c>
      <c r="U33" s="56"/>
      <c r="V33" s="56">
        <f>D33+N33</f>
        <v>4.9798930000000006</v>
      </c>
      <c r="W33" s="56">
        <f>E33+O33</f>
        <v>12.734742619999999</v>
      </c>
      <c r="X33" s="55"/>
    </row>
    <row r="34" spans="1:24">
      <c r="A34" s="54"/>
      <c r="B34" s="37">
        <v>40087</v>
      </c>
      <c r="C34" s="36">
        <f>C7</f>
        <v>46</v>
      </c>
      <c r="D34" s="56">
        <f>C34*E$26</f>
        <v>4.6000000000000005</v>
      </c>
      <c r="E34" s="56">
        <f>D34*E$29</f>
        <v>4.8162000000000003</v>
      </c>
      <c r="F34" s="6"/>
      <c r="G34" s="56">
        <f>D34*E$25</f>
        <v>1347.7878699091711</v>
      </c>
      <c r="H34" s="56">
        <f t="shared" ref="H34:H46" si="0">E34*E$25</f>
        <v>1411.1338997949022</v>
      </c>
      <c r="I34" s="56"/>
      <c r="J34" s="36">
        <f t="shared" ref="J34:J46" si="1">J7</f>
        <v>535</v>
      </c>
      <c r="K34" s="27"/>
      <c r="L34" s="6">
        <f t="shared" ref="L34:L46" si="2">J34*E$28</f>
        <v>1786.8999999999999</v>
      </c>
      <c r="M34" s="6"/>
      <c r="N34" s="56">
        <f t="shared" ref="N34:N46" si="3">J34*E$27</f>
        <v>1.825955</v>
      </c>
      <c r="O34" s="56">
        <f t="shared" ref="O34:O46" si="4">L34*E$27</f>
        <v>6.0986896999999995</v>
      </c>
      <c r="P34" s="6">
        <f>HDD!B8</f>
        <v>500</v>
      </c>
      <c r="Q34" s="6">
        <f t="shared" ref="Q34:Q46" si="5">B59</f>
        <v>0</v>
      </c>
      <c r="R34" s="6"/>
      <c r="S34" s="56">
        <f t="shared" ref="S34:S46" si="6">G34+J34</f>
        <v>1882.7878699091711</v>
      </c>
      <c r="T34" s="56">
        <f t="shared" ref="T34:T46" si="7">H34+L34</f>
        <v>3198.033899794902</v>
      </c>
      <c r="U34" s="56"/>
      <c r="V34" s="56">
        <f t="shared" ref="V34:V46" si="8">D34+N34</f>
        <v>6.4259550000000001</v>
      </c>
      <c r="W34" s="56">
        <f t="shared" ref="W34:W46" si="9">E34+O34</f>
        <v>10.9148897</v>
      </c>
      <c r="X34" s="55"/>
    </row>
    <row r="35" spans="1:24">
      <c r="A35" s="54"/>
      <c r="B35" s="37">
        <v>40118</v>
      </c>
      <c r="C35" s="36">
        <v>113</v>
      </c>
      <c r="D35" s="56">
        <f>C35*E$26</f>
        <v>11.3</v>
      </c>
      <c r="E35" s="56">
        <f t="shared" ref="E35:E46" si="10">D35*E$29</f>
        <v>11.831099999999999</v>
      </c>
      <c r="F35" s="6"/>
      <c r="G35" s="56">
        <f t="shared" ref="G35:G46" si="11">D35*E$25</f>
        <v>3310.8702021681811</v>
      </c>
      <c r="H35" s="56">
        <f t="shared" si="0"/>
        <v>3466.4811016700851</v>
      </c>
      <c r="I35" s="56"/>
      <c r="J35" s="36">
        <f t="shared" si="1"/>
        <v>541</v>
      </c>
      <c r="K35" s="27"/>
      <c r="L35" s="6">
        <f t="shared" si="2"/>
        <v>1806.9399999999998</v>
      </c>
      <c r="M35" s="6"/>
      <c r="N35" s="56">
        <f t="shared" si="3"/>
        <v>1.846433</v>
      </c>
      <c r="O35" s="56">
        <f t="shared" si="4"/>
        <v>6.167086219999999</v>
      </c>
      <c r="P35" s="6">
        <f>HDD!B9</f>
        <v>592</v>
      </c>
      <c r="Q35" s="6">
        <f t="shared" si="5"/>
        <v>0</v>
      </c>
      <c r="R35" s="6"/>
      <c r="S35" s="56">
        <f t="shared" si="6"/>
        <v>3851.8702021681811</v>
      </c>
      <c r="T35" s="56">
        <f t="shared" si="7"/>
        <v>5273.4211016700847</v>
      </c>
      <c r="U35" s="56"/>
      <c r="V35" s="56">
        <f t="shared" si="8"/>
        <v>13.146433</v>
      </c>
      <c r="W35" s="56">
        <f t="shared" si="9"/>
        <v>17.998186219999997</v>
      </c>
      <c r="X35" s="55"/>
    </row>
    <row r="36" spans="1:24">
      <c r="A36" s="54"/>
      <c r="B36" s="37">
        <v>40148</v>
      </c>
      <c r="C36" s="36">
        <v>133</v>
      </c>
      <c r="D36" s="56">
        <f t="shared" ref="D36:D46" si="12">C36*E$26</f>
        <v>13.3</v>
      </c>
      <c r="E36" s="56">
        <f t="shared" si="10"/>
        <v>13.9251</v>
      </c>
      <c r="F36" s="6"/>
      <c r="G36" s="56">
        <f t="shared" si="11"/>
        <v>3896.8649282156466</v>
      </c>
      <c r="H36" s="56">
        <f t="shared" si="0"/>
        <v>4080.0175798417822</v>
      </c>
      <c r="I36" s="56"/>
      <c r="J36" s="36">
        <f t="shared" si="1"/>
        <v>489</v>
      </c>
      <c r="K36" s="27"/>
      <c r="L36" s="6">
        <f t="shared" si="2"/>
        <v>1633.26</v>
      </c>
      <c r="M36" s="6"/>
      <c r="N36" s="56">
        <f t="shared" si="3"/>
        <v>1.6689569999999998</v>
      </c>
      <c r="O36" s="56">
        <f t="shared" si="4"/>
        <v>5.57431638</v>
      </c>
      <c r="P36" s="6">
        <f>HDD!B10</f>
        <v>1086</v>
      </c>
      <c r="Q36" s="6">
        <f t="shared" si="5"/>
        <v>40087</v>
      </c>
      <c r="R36" s="6"/>
      <c r="S36" s="56">
        <f t="shared" si="6"/>
        <v>4385.8649282156466</v>
      </c>
      <c r="T36" s="56">
        <f t="shared" si="7"/>
        <v>5713.2775798417824</v>
      </c>
      <c r="U36" s="56"/>
      <c r="V36" s="56">
        <f t="shared" si="8"/>
        <v>14.968957</v>
      </c>
      <c r="W36" s="56">
        <f t="shared" si="9"/>
        <v>19.49941638</v>
      </c>
      <c r="X36" s="55"/>
    </row>
    <row r="37" spans="1:24">
      <c r="A37" s="54"/>
      <c r="B37" s="37">
        <v>40179</v>
      </c>
      <c r="C37" s="36">
        <v>251</v>
      </c>
      <c r="D37" s="56">
        <f t="shared" si="12"/>
        <v>25.1</v>
      </c>
      <c r="E37" s="56">
        <f t="shared" si="10"/>
        <v>26.279699999999998</v>
      </c>
      <c r="F37" s="6"/>
      <c r="G37" s="56">
        <f t="shared" si="11"/>
        <v>7354.2338118956941</v>
      </c>
      <c r="H37" s="56">
        <f t="shared" si="0"/>
        <v>7699.8828010547904</v>
      </c>
      <c r="I37" s="56"/>
      <c r="J37" s="36">
        <f t="shared" si="1"/>
        <v>720</v>
      </c>
      <c r="K37" s="27"/>
      <c r="L37" s="6">
        <f t="shared" si="2"/>
        <v>2404.7999999999997</v>
      </c>
      <c r="M37" s="6"/>
      <c r="N37" s="56">
        <f t="shared" si="3"/>
        <v>2.45736</v>
      </c>
      <c r="O37" s="56">
        <f t="shared" si="4"/>
        <v>8.2075823999999979</v>
      </c>
      <c r="P37" s="6">
        <f>HDD!B11</f>
        <v>1191</v>
      </c>
      <c r="Q37" s="6">
        <f t="shared" si="5"/>
        <v>40118</v>
      </c>
      <c r="R37" s="6"/>
      <c r="S37" s="56">
        <f t="shared" si="6"/>
        <v>8074.2338118956941</v>
      </c>
      <c r="T37" s="56">
        <f t="shared" si="7"/>
        <v>10104.682801054791</v>
      </c>
      <c r="U37" s="56"/>
      <c r="V37" s="56">
        <f t="shared" si="8"/>
        <v>27.557360000000003</v>
      </c>
      <c r="W37" s="56">
        <f t="shared" si="9"/>
        <v>34.487282399999998</v>
      </c>
      <c r="X37" s="55"/>
    </row>
    <row r="38" spans="1:24">
      <c r="A38" s="54"/>
      <c r="B38" s="37">
        <v>40210</v>
      </c>
      <c r="C38" s="36">
        <v>235</v>
      </c>
      <c r="D38" s="56">
        <f t="shared" si="12"/>
        <v>23.5</v>
      </c>
      <c r="E38" s="56">
        <f t="shared" si="10"/>
        <v>24.604499999999998</v>
      </c>
      <c r="F38" s="6"/>
      <c r="G38" s="56">
        <f t="shared" si="11"/>
        <v>6885.4380310577208</v>
      </c>
      <c r="H38" s="56">
        <f t="shared" si="0"/>
        <v>7209.0536185174333</v>
      </c>
      <c r="I38" s="56"/>
      <c r="J38" s="36">
        <f t="shared" si="1"/>
        <v>419</v>
      </c>
      <c r="K38" s="27"/>
      <c r="L38" s="6">
        <f t="shared" si="2"/>
        <v>1399.46</v>
      </c>
      <c r="M38" s="6"/>
      <c r="N38" s="56">
        <f t="shared" si="3"/>
        <v>1.4300469999999998</v>
      </c>
      <c r="O38" s="56">
        <f t="shared" si="4"/>
        <v>4.7763569800000001</v>
      </c>
      <c r="P38" s="6">
        <f>HDD!B12</f>
        <v>964</v>
      </c>
      <c r="Q38" s="6">
        <f t="shared" si="5"/>
        <v>40148</v>
      </c>
      <c r="R38" s="6"/>
      <c r="S38" s="56">
        <f t="shared" si="6"/>
        <v>7304.4380310577208</v>
      </c>
      <c r="T38" s="56">
        <f t="shared" si="7"/>
        <v>8608.5136185174342</v>
      </c>
      <c r="U38" s="56"/>
      <c r="V38" s="56">
        <f t="shared" si="8"/>
        <v>24.930046999999998</v>
      </c>
      <c r="W38" s="56">
        <f t="shared" si="9"/>
        <v>29.380856979999997</v>
      </c>
      <c r="X38" s="55"/>
    </row>
    <row r="39" spans="1:24">
      <c r="A39" s="54"/>
      <c r="B39" s="37">
        <v>40247</v>
      </c>
      <c r="C39" s="36">
        <v>169</v>
      </c>
      <c r="D39" s="56">
        <f t="shared" si="12"/>
        <v>16.900000000000002</v>
      </c>
      <c r="E39" s="56">
        <f t="shared" si="10"/>
        <v>17.694300000000002</v>
      </c>
      <c r="F39" s="6"/>
      <c r="G39" s="56">
        <f t="shared" si="11"/>
        <v>4951.6554351010855</v>
      </c>
      <c r="H39" s="56">
        <f t="shared" si="0"/>
        <v>5184.3832405508365</v>
      </c>
      <c r="I39" s="56"/>
      <c r="J39" s="36">
        <f t="shared" si="1"/>
        <v>334</v>
      </c>
      <c r="K39" s="27"/>
      <c r="L39" s="6">
        <f t="shared" si="2"/>
        <v>1115.56</v>
      </c>
      <c r="M39" s="6"/>
      <c r="N39" s="56">
        <f t="shared" si="3"/>
        <v>1.139942</v>
      </c>
      <c r="O39" s="56">
        <f t="shared" si="4"/>
        <v>3.8074062799999995</v>
      </c>
      <c r="P39" s="6">
        <f>HDD!B13</f>
        <v>706</v>
      </c>
      <c r="Q39" s="6">
        <f t="shared" si="5"/>
        <v>40179</v>
      </c>
      <c r="R39" s="6"/>
      <c r="S39" s="56">
        <f t="shared" si="6"/>
        <v>5285.6554351010855</v>
      </c>
      <c r="T39" s="56">
        <f t="shared" si="7"/>
        <v>6299.943240550836</v>
      </c>
      <c r="U39" s="56"/>
      <c r="V39" s="56">
        <f t="shared" si="8"/>
        <v>18.039942000000003</v>
      </c>
      <c r="W39" s="56">
        <f t="shared" si="9"/>
        <v>21.501706280000001</v>
      </c>
      <c r="X39" s="55"/>
    </row>
    <row r="40" spans="1:24">
      <c r="A40" s="54"/>
      <c r="B40" s="37">
        <v>40269</v>
      </c>
      <c r="C40" s="36">
        <v>109</v>
      </c>
      <c r="D40" s="56">
        <f t="shared" si="12"/>
        <v>10.9</v>
      </c>
      <c r="E40" s="56">
        <f t="shared" si="10"/>
        <v>11.4123</v>
      </c>
      <c r="F40" s="6"/>
      <c r="G40" s="56">
        <f t="shared" si="11"/>
        <v>3193.671256958688</v>
      </c>
      <c r="H40" s="56">
        <f t="shared" si="0"/>
        <v>3343.773806035746</v>
      </c>
      <c r="I40" s="56"/>
      <c r="J40" s="36">
        <f t="shared" si="1"/>
        <v>367</v>
      </c>
      <c r="K40" s="27"/>
      <c r="L40" s="6">
        <f t="shared" si="2"/>
        <v>1225.78</v>
      </c>
      <c r="M40" s="6"/>
      <c r="N40" s="56">
        <f t="shared" si="3"/>
        <v>1.2525709999999999</v>
      </c>
      <c r="O40" s="56">
        <f t="shared" si="4"/>
        <v>4.1835871399999993</v>
      </c>
      <c r="P40" s="6">
        <f>HDD!B14</f>
        <v>427</v>
      </c>
      <c r="Q40" s="6">
        <f t="shared" si="5"/>
        <v>40210</v>
      </c>
      <c r="R40" s="6"/>
      <c r="S40" s="56">
        <f t="shared" si="6"/>
        <v>3560.671256958688</v>
      </c>
      <c r="T40" s="56">
        <f t="shared" si="7"/>
        <v>4569.5538060357458</v>
      </c>
      <c r="U40" s="56"/>
      <c r="V40" s="56">
        <f t="shared" si="8"/>
        <v>12.152571</v>
      </c>
      <c r="W40" s="56">
        <f t="shared" si="9"/>
        <v>15.595887139999999</v>
      </c>
      <c r="X40" s="55"/>
    </row>
    <row r="41" spans="1:24">
      <c r="A41" s="54"/>
      <c r="B41" s="37">
        <v>40299</v>
      </c>
      <c r="C41" s="36">
        <v>89</v>
      </c>
      <c r="D41" s="56">
        <f t="shared" si="12"/>
        <v>8.9</v>
      </c>
      <c r="E41" s="56">
        <f t="shared" si="10"/>
        <v>9.3182999999999989</v>
      </c>
      <c r="F41" s="6"/>
      <c r="G41" s="56">
        <f t="shared" si="11"/>
        <v>2607.676530911222</v>
      </c>
      <c r="H41" s="56">
        <f t="shared" si="0"/>
        <v>2730.2373278640493</v>
      </c>
      <c r="I41" s="56"/>
      <c r="J41" s="36">
        <f t="shared" si="1"/>
        <v>438</v>
      </c>
      <c r="K41" s="27"/>
      <c r="L41" s="6">
        <f t="shared" si="2"/>
        <v>1462.9199999999998</v>
      </c>
      <c r="M41" s="6"/>
      <c r="N41" s="56">
        <f t="shared" si="3"/>
        <v>1.4948939999999999</v>
      </c>
      <c r="O41" s="56">
        <f t="shared" si="4"/>
        <v>4.9929459599999992</v>
      </c>
      <c r="P41" s="6">
        <f>HDD!B15</f>
        <v>209</v>
      </c>
      <c r="Q41" s="6">
        <f t="shared" si="5"/>
        <v>40247</v>
      </c>
      <c r="R41" s="6"/>
      <c r="S41" s="56">
        <f t="shared" si="6"/>
        <v>3045.676530911222</v>
      </c>
      <c r="T41" s="56">
        <f t="shared" si="7"/>
        <v>4193.157327864049</v>
      </c>
      <c r="U41" s="56"/>
      <c r="V41" s="56">
        <f t="shared" si="8"/>
        <v>10.394894000000001</v>
      </c>
      <c r="W41" s="56">
        <f t="shared" si="9"/>
        <v>14.311245959999997</v>
      </c>
      <c r="X41" s="55"/>
    </row>
    <row r="42" spans="1:24">
      <c r="A42" s="54"/>
      <c r="B42" s="37">
        <v>40330</v>
      </c>
      <c r="C42" s="36">
        <v>26</v>
      </c>
      <c r="D42" s="56">
        <f t="shared" si="12"/>
        <v>2.6</v>
      </c>
      <c r="E42" s="56">
        <f t="shared" si="10"/>
        <v>2.7222</v>
      </c>
      <c r="F42" s="6"/>
      <c r="G42" s="56">
        <f t="shared" si="11"/>
        <v>761.7931438617054</v>
      </c>
      <c r="H42" s="56">
        <f t="shared" si="0"/>
        <v>797.59742162320549</v>
      </c>
      <c r="I42" s="56"/>
      <c r="J42" s="36">
        <f t="shared" si="1"/>
        <v>672</v>
      </c>
      <c r="K42" s="27"/>
      <c r="L42" s="6">
        <f t="shared" si="2"/>
        <v>2244.48</v>
      </c>
      <c r="M42" s="6"/>
      <c r="N42" s="56">
        <f t="shared" si="3"/>
        <v>2.293536</v>
      </c>
      <c r="O42" s="56">
        <f t="shared" si="4"/>
        <v>7.66041024</v>
      </c>
      <c r="P42" s="6">
        <f>HDD!B16</f>
        <v>65</v>
      </c>
      <c r="Q42" s="6">
        <f t="shared" si="5"/>
        <v>40269</v>
      </c>
      <c r="R42" s="6"/>
      <c r="S42" s="56">
        <f t="shared" si="6"/>
        <v>1433.7931438617054</v>
      </c>
      <c r="T42" s="56">
        <f t="shared" si="7"/>
        <v>3042.0774216232057</v>
      </c>
      <c r="U42" s="56"/>
      <c r="V42" s="56">
        <f t="shared" si="8"/>
        <v>4.8935360000000001</v>
      </c>
      <c r="W42" s="56">
        <f t="shared" si="9"/>
        <v>10.38261024</v>
      </c>
      <c r="X42" s="55"/>
    </row>
    <row r="43" spans="1:24">
      <c r="A43" s="54"/>
      <c r="B43" s="37">
        <v>40360</v>
      </c>
      <c r="C43" s="36">
        <v>18</v>
      </c>
      <c r="D43" s="56">
        <f t="shared" si="12"/>
        <v>1.8</v>
      </c>
      <c r="E43" s="56">
        <f t="shared" si="10"/>
        <v>1.8845999999999998</v>
      </c>
      <c r="F43" s="6"/>
      <c r="G43" s="56">
        <f t="shared" si="11"/>
        <v>527.39525344271908</v>
      </c>
      <c r="H43" s="56">
        <f t="shared" si="0"/>
        <v>552.1828303545268</v>
      </c>
      <c r="I43" s="56"/>
      <c r="J43" s="36">
        <f t="shared" si="1"/>
        <v>1276</v>
      </c>
      <c r="K43" s="27"/>
      <c r="L43" s="6">
        <f t="shared" si="2"/>
        <v>4261.84</v>
      </c>
      <c r="M43" s="6"/>
      <c r="N43" s="56">
        <f t="shared" si="3"/>
        <v>4.3549879999999996</v>
      </c>
      <c r="O43" s="56">
        <f t="shared" si="4"/>
        <v>14.54565992</v>
      </c>
      <c r="P43" s="6">
        <f>HDD!B17</f>
        <v>22</v>
      </c>
      <c r="Q43" s="6">
        <f t="shared" si="5"/>
        <v>40299</v>
      </c>
      <c r="R43" s="6"/>
      <c r="S43" s="56">
        <f t="shared" si="6"/>
        <v>1803.395253442719</v>
      </c>
      <c r="T43" s="56">
        <f t="shared" si="7"/>
        <v>4814.0228303545273</v>
      </c>
      <c r="U43" s="56"/>
      <c r="V43" s="56">
        <f t="shared" si="8"/>
        <v>6.1549879999999995</v>
      </c>
      <c r="W43" s="56">
        <f t="shared" si="9"/>
        <v>16.430259920000001</v>
      </c>
      <c r="X43" s="55"/>
    </row>
    <row r="44" spans="1:24">
      <c r="A44" s="54"/>
      <c r="B44" s="37">
        <v>40391</v>
      </c>
      <c r="C44" s="36">
        <v>17</v>
      </c>
      <c r="D44" s="56">
        <f t="shared" si="12"/>
        <v>1.7000000000000002</v>
      </c>
      <c r="E44" s="56">
        <f t="shared" si="10"/>
        <v>1.7799</v>
      </c>
      <c r="F44" s="6"/>
      <c r="G44" s="56">
        <f t="shared" si="11"/>
        <v>498.09551714034586</v>
      </c>
      <c r="H44" s="56">
        <f t="shared" si="0"/>
        <v>521.50600644594203</v>
      </c>
      <c r="I44" s="56"/>
      <c r="J44" s="36">
        <f t="shared" si="1"/>
        <v>1016</v>
      </c>
      <c r="K44" s="27"/>
      <c r="L44" s="6">
        <f t="shared" si="2"/>
        <v>3393.44</v>
      </c>
      <c r="M44" s="6"/>
      <c r="N44" s="56">
        <f t="shared" si="3"/>
        <v>3.4676079999999998</v>
      </c>
      <c r="O44" s="56">
        <f t="shared" si="4"/>
        <v>11.58181072</v>
      </c>
      <c r="P44" s="6">
        <f>HDD!B18</f>
        <v>44</v>
      </c>
      <c r="Q44" s="6">
        <f t="shared" si="5"/>
        <v>40330</v>
      </c>
      <c r="R44" s="6"/>
      <c r="S44" s="56">
        <f t="shared" si="6"/>
        <v>1514.0955171403459</v>
      </c>
      <c r="T44" s="56">
        <f t="shared" si="7"/>
        <v>3914.9460064459422</v>
      </c>
      <c r="U44" s="56"/>
      <c r="V44" s="56">
        <f t="shared" si="8"/>
        <v>5.1676079999999995</v>
      </c>
      <c r="W44" s="56">
        <f t="shared" si="9"/>
        <v>13.36171072</v>
      </c>
      <c r="X44" s="55"/>
    </row>
    <row r="45" spans="1:24">
      <c r="A45" s="54"/>
      <c r="B45" s="37">
        <v>40422</v>
      </c>
      <c r="C45" s="36">
        <v>16</v>
      </c>
      <c r="D45" s="56">
        <f t="shared" si="12"/>
        <v>1.6</v>
      </c>
      <c r="E45" s="56">
        <f t="shared" si="10"/>
        <v>1.6752</v>
      </c>
      <c r="F45" s="6"/>
      <c r="G45" s="56">
        <f t="shared" si="11"/>
        <v>468.79578083797253</v>
      </c>
      <c r="H45" s="56">
        <f t="shared" si="0"/>
        <v>490.82918253735721</v>
      </c>
      <c r="I45" s="56"/>
      <c r="J45" s="36">
        <f t="shared" si="1"/>
        <v>832</v>
      </c>
      <c r="K45" s="27"/>
      <c r="L45" s="6">
        <f t="shared" si="2"/>
        <v>2778.88</v>
      </c>
      <c r="M45" s="6"/>
      <c r="N45" s="56">
        <f t="shared" si="3"/>
        <v>2.8396159999999999</v>
      </c>
      <c r="O45" s="56">
        <f t="shared" si="4"/>
        <v>9.4843174399999999</v>
      </c>
      <c r="P45" s="6">
        <f>HDD!B19</f>
        <v>112</v>
      </c>
      <c r="Q45" s="6">
        <f t="shared" si="5"/>
        <v>40360</v>
      </c>
      <c r="R45" s="6"/>
      <c r="S45" s="56">
        <f t="shared" si="6"/>
        <v>1300.7957808379724</v>
      </c>
      <c r="T45" s="56">
        <f t="shared" si="7"/>
        <v>3269.7091825373573</v>
      </c>
      <c r="U45" s="56"/>
      <c r="V45" s="56">
        <f t="shared" si="8"/>
        <v>4.439616</v>
      </c>
      <c r="W45" s="56">
        <f t="shared" si="9"/>
        <v>11.15951744</v>
      </c>
      <c r="X45" s="55"/>
    </row>
    <row r="46" spans="1:24">
      <c r="A46" s="54"/>
      <c r="B46" s="37">
        <v>40452</v>
      </c>
      <c r="C46" s="36">
        <v>30</v>
      </c>
      <c r="D46" s="56">
        <f t="shared" si="12"/>
        <v>3</v>
      </c>
      <c r="E46" s="56">
        <f t="shared" si="10"/>
        <v>3.141</v>
      </c>
      <c r="F46" s="6"/>
      <c r="G46" s="56">
        <f t="shared" si="11"/>
        <v>878.99208907119851</v>
      </c>
      <c r="H46" s="56">
        <f t="shared" si="0"/>
        <v>920.30471725754478</v>
      </c>
      <c r="I46" s="56"/>
      <c r="J46" s="36">
        <f t="shared" si="1"/>
        <v>561</v>
      </c>
      <c r="K46" s="27"/>
      <c r="L46" s="6">
        <f t="shared" si="2"/>
        <v>1873.74</v>
      </c>
      <c r="M46" s="6"/>
      <c r="N46" s="56">
        <f t="shared" si="3"/>
        <v>1.914693</v>
      </c>
      <c r="O46" s="56">
        <f t="shared" si="4"/>
        <v>6.3950746199999999</v>
      </c>
      <c r="P46" s="6">
        <f t="shared" ref="P46" si="13">B92</f>
        <v>0</v>
      </c>
      <c r="Q46" s="6">
        <f t="shared" si="5"/>
        <v>40391</v>
      </c>
      <c r="R46" s="6"/>
      <c r="S46" s="56">
        <f t="shared" si="6"/>
        <v>1439.9920890711985</v>
      </c>
      <c r="T46" s="56">
        <f t="shared" si="7"/>
        <v>2794.044717257545</v>
      </c>
      <c r="U46" s="56"/>
      <c r="V46" s="56">
        <f t="shared" si="8"/>
        <v>4.9146929999999998</v>
      </c>
      <c r="W46" s="56">
        <f t="shared" si="9"/>
        <v>9.5360746200000008</v>
      </c>
      <c r="X46" s="55"/>
    </row>
    <row r="47" spans="1:24">
      <c r="A47" s="5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55"/>
    </row>
    <row r="48" spans="1:24">
      <c r="A48" s="54"/>
      <c r="B48" s="6"/>
      <c r="C48" s="56">
        <f>SUM(C34:C45)</f>
        <v>1222</v>
      </c>
      <c r="D48" s="6"/>
      <c r="E48" s="56">
        <f>SUM(E34:E45)</f>
        <v>127.9434</v>
      </c>
      <c r="F48" s="6"/>
      <c r="G48" s="6"/>
      <c r="H48" s="6"/>
      <c r="I48" s="6"/>
      <c r="J48" s="56">
        <f>SUM(J34:J45)</f>
        <v>7639</v>
      </c>
      <c r="K48" s="56"/>
      <c r="L48" s="6"/>
      <c r="M48" s="6"/>
      <c r="N48" s="6"/>
      <c r="O48" s="56">
        <f>SUM(O34:O45)</f>
        <v>87.080169379999987</v>
      </c>
      <c r="P48" s="6"/>
      <c r="Q48" s="6"/>
      <c r="R48" s="6"/>
      <c r="S48" s="6"/>
      <c r="T48" s="6"/>
      <c r="U48" s="6"/>
      <c r="V48" s="6"/>
      <c r="W48" s="56"/>
      <c r="X48" s="57"/>
    </row>
    <row r="49" spans="1:24">
      <c r="A49" s="5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 t="s">
        <v>20</v>
      </c>
      <c r="T49" s="6" t="s">
        <v>23</v>
      </c>
      <c r="U49" s="6"/>
      <c r="V49" s="6" t="s">
        <v>21</v>
      </c>
      <c r="W49" s="6" t="s">
        <v>22</v>
      </c>
      <c r="X49" s="55"/>
    </row>
    <row r="50" spans="1:24">
      <c r="A50" s="33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 t="s">
        <v>50</v>
      </c>
      <c r="R50" s="28"/>
      <c r="S50" s="36">
        <f t="shared" ref="S50:T52" si="14">SUM(S33:S44)</f>
        <v>43601.577497802529</v>
      </c>
      <c r="T50" s="36">
        <f t="shared" si="14"/>
        <v>63462.875640199243</v>
      </c>
      <c r="U50" s="28"/>
      <c r="V50" s="36">
        <f t="shared" ref="V50:W52" si="15">SUM(V33:V44)</f>
        <v>148.812184</v>
      </c>
      <c r="W50" s="36">
        <f t="shared" si="15"/>
        <v>216.59879455999999</v>
      </c>
      <c r="X50" s="34"/>
    </row>
    <row r="51" spans="1:24">
      <c r="A51" s="33"/>
      <c r="B51" s="28"/>
      <c r="C51" s="28"/>
      <c r="D51" s="28"/>
      <c r="E51" s="36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120" t="s">
        <v>51</v>
      </c>
      <c r="R51" s="64"/>
      <c r="S51" s="63">
        <f t="shared" si="14"/>
        <v>43443.277761500154</v>
      </c>
      <c r="T51" s="63">
        <f t="shared" si="14"/>
        <v>63001.338816290656</v>
      </c>
      <c r="U51" s="64"/>
      <c r="V51" s="63">
        <f t="shared" si="15"/>
        <v>148.271907</v>
      </c>
      <c r="W51" s="65">
        <f t="shared" si="15"/>
        <v>215.02356938</v>
      </c>
      <c r="X51" s="34"/>
    </row>
    <row r="52" spans="1:24">
      <c r="A52" s="33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 t="s">
        <v>52</v>
      </c>
      <c r="R52" s="28"/>
      <c r="S52" s="36">
        <f t="shared" si="14"/>
        <v>43000.481980662189</v>
      </c>
      <c r="T52" s="36">
        <f t="shared" si="14"/>
        <v>62597.3496337533</v>
      </c>
      <c r="U52" s="28"/>
      <c r="V52" s="36">
        <f t="shared" si="15"/>
        <v>146.76064499999998</v>
      </c>
      <c r="W52" s="36">
        <f t="shared" si="15"/>
        <v>213.64475429999999</v>
      </c>
      <c r="X52" s="34"/>
    </row>
    <row r="53" spans="1:24">
      <c r="A53" s="40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3"/>
    </row>
    <row r="54" spans="1:24">
      <c r="C54" s="17" t="s">
        <v>72</v>
      </c>
    </row>
    <row r="56" spans="1:24">
      <c r="C56" s="130" t="s">
        <v>60</v>
      </c>
      <c r="D56" s="130"/>
      <c r="E56" s="130"/>
    </row>
    <row r="57" spans="1:24" ht="26.25">
      <c r="C57" s="86" t="s">
        <v>61</v>
      </c>
      <c r="D57" s="86" t="s">
        <v>62</v>
      </c>
      <c r="E57" s="86" t="s">
        <v>63</v>
      </c>
    </row>
    <row r="58" spans="1:24">
      <c r="C58" s="113"/>
      <c r="D58" s="113"/>
      <c r="E58" s="113"/>
      <c r="F58" s="17" t="s">
        <v>67</v>
      </c>
      <c r="G58" s="17" t="s">
        <v>67</v>
      </c>
      <c r="I58" s="17" t="s">
        <v>67</v>
      </c>
    </row>
    <row r="59" spans="1:24">
      <c r="C59" s="116"/>
      <c r="D59" s="90"/>
      <c r="E59" s="90"/>
      <c r="F59" s="17" t="s">
        <v>66</v>
      </c>
      <c r="G59" s="17" t="s">
        <v>73</v>
      </c>
      <c r="I59" s="17" t="s">
        <v>74</v>
      </c>
    </row>
    <row r="60" spans="1:24">
      <c r="C60" s="99"/>
      <c r="D60" s="90"/>
      <c r="E60" s="90"/>
      <c r="F60" s="17" t="s">
        <v>71</v>
      </c>
    </row>
    <row r="61" spans="1:24">
      <c r="B61" s="37">
        <v>40087</v>
      </c>
      <c r="C61" s="99"/>
      <c r="D61" s="90">
        <v>9</v>
      </c>
      <c r="E61" s="90">
        <v>348</v>
      </c>
      <c r="F61" s="36">
        <f>0.0177*E61+1.4886</f>
        <v>7.6482000000000001</v>
      </c>
      <c r="G61" s="36">
        <f>N34+F61</f>
        <v>9.4741549999999997</v>
      </c>
      <c r="H61" s="28"/>
      <c r="I61" s="36">
        <f>'Energy Use'!$E$4*N34+'Energy Use'!$E$5*F61</f>
        <v>14.106355099999998</v>
      </c>
    </row>
    <row r="62" spans="1:24">
      <c r="B62" s="37">
        <v>40118</v>
      </c>
      <c r="C62" s="99"/>
      <c r="D62" s="90">
        <v>0</v>
      </c>
      <c r="E62" s="90">
        <v>652</v>
      </c>
      <c r="F62" s="36">
        <f t="shared" ref="F62:F72" si="16">0.0177*E62+1.4886</f>
        <v>13.029</v>
      </c>
      <c r="G62" s="36">
        <f t="shared" ref="G62:G72" si="17">N35+F62</f>
        <v>14.875432999999999</v>
      </c>
      <c r="H62" s="28"/>
      <c r="I62" s="36">
        <f>'Energy Use'!$E$4*N35+'Energy Use'!$E$5*F62</f>
        <v>19.80844922</v>
      </c>
    </row>
    <row r="63" spans="1:24">
      <c r="B63" s="37">
        <v>40148</v>
      </c>
      <c r="C63" s="99"/>
      <c r="D63" s="90">
        <v>0</v>
      </c>
      <c r="E63" s="90">
        <v>902</v>
      </c>
      <c r="F63" s="36">
        <f t="shared" si="16"/>
        <v>17.454000000000001</v>
      </c>
      <c r="G63" s="36">
        <f t="shared" si="17"/>
        <v>19.122957</v>
      </c>
      <c r="H63" s="28"/>
      <c r="I63" s="36">
        <f>'Energy Use'!$E$4*N36+'Energy Use'!$E$5*F63</f>
        <v>23.848654379999999</v>
      </c>
    </row>
    <row r="64" spans="1:24">
      <c r="B64" s="37">
        <v>40179</v>
      </c>
      <c r="C64" s="99"/>
      <c r="D64" s="90">
        <v>0</v>
      </c>
      <c r="E64" s="90">
        <v>1189</v>
      </c>
      <c r="F64" s="36">
        <f t="shared" si="16"/>
        <v>22.533900000000003</v>
      </c>
      <c r="G64" s="36">
        <f t="shared" si="17"/>
        <v>24.991260000000004</v>
      </c>
      <c r="H64" s="28"/>
      <c r="I64" s="36">
        <f>'Energy Use'!$E$4*N37+'Energy Use'!$E$5*F64</f>
        <v>31.8005757</v>
      </c>
    </row>
    <row r="65" spans="2:9">
      <c r="B65" s="37">
        <v>40210</v>
      </c>
      <c r="C65" s="99"/>
      <c r="D65" s="90">
        <v>0</v>
      </c>
      <c r="E65" s="90">
        <v>950</v>
      </c>
      <c r="F65" s="36">
        <f t="shared" si="16"/>
        <v>18.303600000000003</v>
      </c>
      <c r="G65" s="36">
        <f t="shared" si="17"/>
        <v>19.733647000000001</v>
      </c>
      <c r="H65" s="28"/>
      <c r="I65" s="36">
        <f>'Energy Use'!$E$4*N38+'Energy Use'!$E$5*F65</f>
        <v>23.94022618</v>
      </c>
    </row>
    <row r="66" spans="2:9">
      <c r="B66" s="37">
        <v>40247</v>
      </c>
      <c r="C66" s="99"/>
      <c r="D66" s="90">
        <v>0</v>
      </c>
      <c r="E66" s="90">
        <v>813</v>
      </c>
      <c r="F66" s="36">
        <f t="shared" si="16"/>
        <v>15.8787</v>
      </c>
      <c r="G66" s="36">
        <f t="shared" si="17"/>
        <v>17.018642</v>
      </c>
      <c r="H66" s="28"/>
      <c r="I66" s="36">
        <f>'Energy Use'!$E$4*N39+'Energy Use'!$E$5*F66</f>
        <v>20.432405179999996</v>
      </c>
    </row>
    <row r="67" spans="2:9">
      <c r="B67" s="37">
        <v>40269</v>
      </c>
      <c r="C67" s="99"/>
      <c r="D67" s="90">
        <v>9</v>
      </c>
      <c r="E67" s="90">
        <v>537</v>
      </c>
      <c r="F67" s="36">
        <f t="shared" si="16"/>
        <v>10.993500000000001</v>
      </c>
      <c r="G67" s="36">
        <f t="shared" si="17"/>
        <v>12.246071000000001</v>
      </c>
      <c r="H67" s="28"/>
      <c r="I67" s="36">
        <f>'Energy Use'!$E$4*N40+'Energy Use'!$E$5*F67</f>
        <v>15.693781640000001</v>
      </c>
    </row>
    <row r="68" spans="2:9">
      <c r="B68" s="37">
        <v>40299</v>
      </c>
      <c r="C68" s="99"/>
      <c r="D68" s="90">
        <v>30</v>
      </c>
      <c r="E68" s="90">
        <v>204</v>
      </c>
      <c r="F68" s="36">
        <f t="shared" si="16"/>
        <v>5.0994000000000002</v>
      </c>
      <c r="G68" s="36">
        <f t="shared" si="17"/>
        <v>6.5942939999999997</v>
      </c>
      <c r="H68" s="28"/>
      <c r="I68" s="36">
        <f>'Energy Use'!$E$4*N41+'Energy Use'!$E$5*F68</f>
        <v>10.332017759999999</v>
      </c>
    </row>
    <row r="69" spans="2:9">
      <c r="B69" s="37">
        <v>40330</v>
      </c>
      <c r="C69" s="99"/>
      <c r="D69" s="90">
        <v>116</v>
      </c>
      <c r="E69" s="90">
        <v>87</v>
      </c>
      <c r="F69" s="36">
        <f t="shared" si="16"/>
        <v>3.0285000000000002</v>
      </c>
      <c r="G69" s="36">
        <f t="shared" si="17"/>
        <v>5.3220360000000007</v>
      </c>
      <c r="H69" s="28"/>
      <c r="I69" s="36">
        <f>'Energy Use'!$E$4*N42+'Energy Use'!$E$5*F69</f>
        <v>10.831249740000001</v>
      </c>
    </row>
    <row r="70" spans="2:9">
      <c r="B70" s="37">
        <v>40360</v>
      </c>
      <c r="C70" s="99"/>
      <c r="D70" s="90">
        <v>284</v>
      </c>
      <c r="E70" s="90">
        <v>3</v>
      </c>
      <c r="F70" s="36">
        <f t="shared" si="16"/>
        <v>1.5416999999999998</v>
      </c>
      <c r="G70" s="36">
        <f t="shared" si="17"/>
        <v>5.8966879999999993</v>
      </c>
      <c r="H70" s="28"/>
      <c r="I70" s="36">
        <f>'Energy Use'!$E$4*N43+'Energy Use'!$E$5*F70</f>
        <v>16.159819819999999</v>
      </c>
    </row>
    <row r="71" spans="2:9">
      <c r="B71" s="37">
        <v>40391</v>
      </c>
      <c r="C71" s="99"/>
      <c r="D71" s="90">
        <v>193</v>
      </c>
      <c r="E71" s="90">
        <v>5</v>
      </c>
      <c r="F71" s="36">
        <f t="shared" si="16"/>
        <v>1.5770999999999999</v>
      </c>
      <c r="G71" s="36">
        <f t="shared" si="17"/>
        <v>5.044708</v>
      </c>
      <c r="H71" s="28"/>
      <c r="I71" s="36">
        <f>'Energy Use'!$E$4*N44+'Energy Use'!$E$5*F71</f>
        <v>13.233034419999997</v>
      </c>
    </row>
    <row r="72" spans="2:9">
      <c r="B72" s="121">
        <v>40422</v>
      </c>
      <c r="C72" s="94"/>
      <c r="D72" s="96">
        <v>53</v>
      </c>
      <c r="E72" s="96">
        <v>66</v>
      </c>
      <c r="F72" s="50">
        <f t="shared" si="16"/>
        <v>2.6568000000000001</v>
      </c>
      <c r="G72" s="50">
        <f t="shared" si="17"/>
        <v>5.496416</v>
      </c>
      <c r="H72" s="42"/>
      <c r="I72" s="50">
        <f>'Energy Use'!$E$4*N45+'Energy Use'!$E$5*F72</f>
        <v>12.265987039999999</v>
      </c>
    </row>
    <row r="73" spans="2:9">
      <c r="I73" s="25">
        <f>SUM(I61:I72)</f>
        <v>212.45255617999996</v>
      </c>
    </row>
  </sheetData>
  <mergeCells count="2">
    <mergeCell ref="J30:K30"/>
    <mergeCell ref="C56:E5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T29"/>
  <sheetViews>
    <sheetView topLeftCell="A3" workbookViewId="0">
      <selection activeCell="T6" sqref="T6"/>
    </sheetView>
  </sheetViews>
  <sheetFormatPr defaultRowHeight="15"/>
  <cols>
    <col min="17" max="17" width="10.7109375" customWidth="1"/>
    <col min="18" max="18" width="10.42578125" customWidth="1"/>
    <col min="19" max="19" width="10.7109375" customWidth="1"/>
  </cols>
  <sheetData>
    <row r="2" spans="1:20">
      <c r="B2" s="17" t="s">
        <v>37</v>
      </c>
      <c r="E2" s="26"/>
    </row>
    <row r="3" spans="1:20">
      <c r="B3" s="17" t="s">
        <v>38</v>
      </c>
    </row>
    <row r="4" spans="1:20">
      <c r="A4" s="17" t="s">
        <v>17</v>
      </c>
      <c r="D4" s="17" t="s">
        <v>35</v>
      </c>
      <c r="Q4" s="58">
        <v>40401</v>
      </c>
      <c r="R4" s="58">
        <v>40434</v>
      </c>
      <c r="S4" s="59">
        <v>33</v>
      </c>
      <c r="T4" s="59">
        <v>16</v>
      </c>
    </row>
    <row r="5" spans="1:20">
      <c r="C5" t="s">
        <v>0</v>
      </c>
      <c r="D5" t="s">
        <v>1</v>
      </c>
      <c r="Q5" s="58">
        <v>40434</v>
      </c>
      <c r="R5" s="58">
        <v>40462</v>
      </c>
      <c r="S5" s="59">
        <v>28</v>
      </c>
      <c r="T5" s="59">
        <v>30</v>
      </c>
    </row>
    <row r="6" spans="1:20" s="17" customFormat="1">
      <c r="A6" s="1">
        <v>40452</v>
      </c>
      <c r="C6" s="17">
        <v>101</v>
      </c>
      <c r="D6" s="4">
        <f>HDD!B20</f>
        <v>442</v>
      </c>
      <c r="Q6" s="58">
        <v>40462</v>
      </c>
      <c r="R6" s="58">
        <v>40490</v>
      </c>
      <c r="S6" s="59">
        <v>28</v>
      </c>
      <c r="T6" s="59">
        <v>101</v>
      </c>
    </row>
    <row r="7" spans="1:20" s="17" customFormat="1">
      <c r="A7" s="1">
        <v>40483</v>
      </c>
      <c r="C7" s="17">
        <v>173</v>
      </c>
      <c r="D7" s="4">
        <f>HDD!B21</f>
        <v>710</v>
      </c>
      <c r="Q7" s="58">
        <v>40490</v>
      </c>
      <c r="R7" s="58">
        <v>40521</v>
      </c>
      <c r="S7" s="59">
        <v>31</v>
      </c>
      <c r="T7" s="59">
        <v>173</v>
      </c>
    </row>
    <row r="8" spans="1:20">
      <c r="A8" s="1">
        <v>40513</v>
      </c>
      <c r="B8" s="2"/>
      <c r="C8" s="17">
        <v>246</v>
      </c>
      <c r="D8" s="2">
        <f>HDD!B22</f>
        <v>1110</v>
      </c>
      <c r="Q8" s="58">
        <v>40521</v>
      </c>
      <c r="R8" s="58">
        <v>40553</v>
      </c>
      <c r="S8" s="59">
        <v>32</v>
      </c>
      <c r="T8" s="59">
        <v>246</v>
      </c>
    </row>
    <row r="9" spans="1:20">
      <c r="A9" s="1">
        <v>40544</v>
      </c>
      <c r="B9" s="2"/>
      <c r="C9" s="17">
        <v>295</v>
      </c>
      <c r="D9" s="4">
        <f>HDD!B23</f>
        <v>1298</v>
      </c>
      <c r="Q9" s="58">
        <v>40553</v>
      </c>
      <c r="R9" s="58">
        <v>40582</v>
      </c>
      <c r="S9" s="59">
        <v>29</v>
      </c>
      <c r="T9" s="59">
        <v>295</v>
      </c>
    </row>
    <row r="10" spans="1:20">
      <c r="A10" s="1">
        <v>40575</v>
      </c>
      <c r="B10" s="2"/>
      <c r="C10" s="17">
        <v>157</v>
      </c>
      <c r="D10" s="4">
        <f>HDD!B24</f>
        <v>1070</v>
      </c>
      <c r="Q10" s="58">
        <v>40582</v>
      </c>
      <c r="R10" s="58">
        <v>40612</v>
      </c>
      <c r="S10" s="59">
        <v>30</v>
      </c>
      <c r="T10" s="59">
        <v>157</v>
      </c>
    </row>
    <row r="11" spans="1:20">
      <c r="A11" s="1">
        <v>40603</v>
      </c>
      <c r="B11" s="2"/>
      <c r="C11" s="17">
        <v>91</v>
      </c>
      <c r="D11" s="4">
        <f>HDD!B25</f>
        <v>885</v>
      </c>
      <c r="Q11" s="58">
        <v>40612</v>
      </c>
      <c r="R11" s="58">
        <v>40641</v>
      </c>
      <c r="S11" s="59">
        <v>29</v>
      </c>
      <c r="T11" s="59">
        <v>91</v>
      </c>
    </row>
    <row r="12" spans="1:20">
      <c r="A12" s="1">
        <v>40634</v>
      </c>
      <c r="B12" s="2"/>
      <c r="C12" s="17">
        <v>48</v>
      </c>
      <c r="D12" s="4">
        <f>HDD!B26</f>
        <v>502</v>
      </c>
      <c r="Q12" s="58">
        <v>40641</v>
      </c>
      <c r="R12" s="58">
        <v>40672</v>
      </c>
      <c r="S12" s="59">
        <v>31</v>
      </c>
      <c r="T12" s="59">
        <v>48</v>
      </c>
    </row>
    <row r="13" spans="1:20">
      <c r="A13" s="1">
        <v>40664</v>
      </c>
      <c r="B13" s="2"/>
      <c r="C13" s="17">
        <v>19</v>
      </c>
      <c r="D13" s="4">
        <f>HDD!B27</f>
        <v>268</v>
      </c>
      <c r="Q13" s="58">
        <v>40672</v>
      </c>
      <c r="R13" s="58">
        <v>40703</v>
      </c>
      <c r="S13" s="59">
        <v>31</v>
      </c>
      <c r="T13" s="59">
        <v>19</v>
      </c>
    </row>
    <row r="14" spans="1:20">
      <c r="A14" s="1">
        <v>40695</v>
      </c>
      <c r="B14" s="2"/>
      <c r="C14" s="17">
        <v>15</v>
      </c>
      <c r="D14" s="4">
        <f>HDD!B28</f>
        <v>113</v>
      </c>
      <c r="Q14" s="58">
        <v>40703</v>
      </c>
      <c r="R14" s="58">
        <v>40732</v>
      </c>
      <c r="S14" s="59">
        <v>29</v>
      </c>
      <c r="T14" s="59">
        <v>15</v>
      </c>
    </row>
    <row r="15" spans="1:20">
      <c r="A15" s="1">
        <v>40735</v>
      </c>
      <c r="B15" s="20"/>
      <c r="C15" s="17">
        <v>12</v>
      </c>
      <c r="D15" s="4">
        <f>HDD!B29</f>
        <v>20</v>
      </c>
      <c r="Q15" s="58">
        <v>40732</v>
      </c>
      <c r="R15" s="58">
        <v>40765</v>
      </c>
      <c r="S15" s="59">
        <v>33</v>
      </c>
      <c r="T15" s="59">
        <v>12</v>
      </c>
    </row>
    <row r="16" spans="1:20">
      <c r="A16" s="1">
        <v>40766</v>
      </c>
      <c r="B16" s="20"/>
      <c r="C16" s="17">
        <v>15</v>
      </c>
      <c r="D16" s="4">
        <f>HDD!B30</f>
        <v>31</v>
      </c>
      <c r="Q16" s="58">
        <v>40765</v>
      </c>
      <c r="R16" s="58">
        <v>40795</v>
      </c>
      <c r="S16" s="59">
        <v>30</v>
      </c>
      <c r="T16" s="59">
        <v>15</v>
      </c>
    </row>
    <row r="17" spans="1:20">
      <c r="A17" s="1">
        <v>40797</v>
      </c>
      <c r="B17" s="20"/>
      <c r="C17" s="17">
        <v>16</v>
      </c>
      <c r="D17" s="4">
        <f>HDD!B31</f>
        <v>108</v>
      </c>
      <c r="Q17" s="58">
        <v>40795</v>
      </c>
      <c r="R17" s="58">
        <v>40827</v>
      </c>
      <c r="S17" s="59">
        <v>32</v>
      </c>
      <c r="T17" s="59">
        <v>16</v>
      </c>
    </row>
    <row r="18" spans="1:20">
      <c r="A18" s="1">
        <v>40827</v>
      </c>
      <c r="B18" s="20"/>
      <c r="C18" s="17">
        <v>30</v>
      </c>
      <c r="D18" s="4">
        <f>HDD!B32</f>
        <v>418</v>
      </c>
      <c r="Q18" s="58">
        <v>40827</v>
      </c>
      <c r="R18" s="58">
        <v>40855</v>
      </c>
      <c r="S18" s="59">
        <v>28</v>
      </c>
      <c r="T18" s="59">
        <v>30</v>
      </c>
    </row>
    <row r="19" spans="1:20">
      <c r="A19" s="1">
        <v>40858</v>
      </c>
      <c r="B19" s="20"/>
      <c r="C19" s="17">
        <v>45</v>
      </c>
      <c r="D19" s="4">
        <f>HDD!B33</f>
        <v>563</v>
      </c>
      <c r="Q19" s="58">
        <v>40855</v>
      </c>
      <c r="R19" s="58">
        <v>40889</v>
      </c>
      <c r="S19" s="59">
        <v>34</v>
      </c>
      <c r="T19" s="59">
        <v>45</v>
      </c>
    </row>
    <row r="20" spans="1:20">
      <c r="A20" s="1">
        <v>40888</v>
      </c>
      <c r="B20" s="20"/>
      <c r="C20" s="17">
        <v>68</v>
      </c>
      <c r="D20" s="4">
        <f>HDD!B34</f>
        <v>882</v>
      </c>
      <c r="Q20" s="58">
        <v>40889</v>
      </c>
      <c r="R20" s="58">
        <v>40920</v>
      </c>
      <c r="S20" s="59">
        <v>31</v>
      </c>
      <c r="T20" s="59">
        <v>68</v>
      </c>
    </row>
    <row r="21" spans="1:20">
      <c r="A21" s="1">
        <v>40920</v>
      </c>
      <c r="B21" s="20"/>
      <c r="C21" s="17">
        <v>72</v>
      </c>
      <c r="D21" s="4">
        <f>HDD!B35</f>
        <v>1053</v>
      </c>
      <c r="Q21" s="58">
        <v>40920</v>
      </c>
      <c r="R21" s="58">
        <v>40948</v>
      </c>
      <c r="S21" s="59">
        <v>28</v>
      </c>
      <c r="T21" s="59">
        <v>72</v>
      </c>
    </row>
    <row r="22" spans="1:20">
      <c r="A22" s="1">
        <v>40940</v>
      </c>
      <c r="B22" s="20"/>
      <c r="C22" s="17">
        <v>70</v>
      </c>
      <c r="D22" s="4">
        <f>HDD!B36</f>
        <v>895</v>
      </c>
      <c r="Q22" s="58">
        <v>40948</v>
      </c>
      <c r="R22" s="58">
        <v>40980</v>
      </c>
      <c r="S22" s="59">
        <v>32</v>
      </c>
      <c r="T22" s="59">
        <v>70</v>
      </c>
    </row>
    <row r="23" spans="1:20">
      <c r="A23" s="1">
        <v>40969</v>
      </c>
      <c r="B23" s="20"/>
      <c r="C23" s="17">
        <v>39</v>
      </c>
      <c r="D23" s="4">
        <f>HDD!B37</f>
        <v>652</v>
      </c>
      <c r="Q23" s="58">
        <v>40980</v>
      </c>
      <c r="R23" s="58">
        <v>41009</v>
      </c>
      <c r="S23" s="59">
        <v>29</v>
      </c>
      <c r="T23" s="59">
        <v>39</v>
      </c>
    </row>
    <row r="24" spans="1:20">
      <c r="A24" s="1">
        <v>41000</v>
      </c>
      <c r="B24" s="20"/>
      <c r="C24" s="17">
        <v>24</v>
      </c>
      <c r="D24" s="4">
        <f>HDD!B38</f>
        <v>463</v>
      </c>
      <c r="Q24" s="58">
        <v>41009</v>
      </c>
      <c r="R24" s="58">
        <v>41040</v>
      </c>
      <c r="S24" s="59">
        <v>31</v>
      </c>
      <c r="T24" s="59">
        <v>24</v>
      </c>
    </row>
    <row r="25" spans="1:20">
      <c r="A25" s="1">
        <v>41030</v>
      </c>
      <c r="B25" s="20"/>
      <c r="C25" s="17">
        <v>17</v>
      </c>
      <c r="D25" s="4">
        <f>HDD!B39</f>
        <v>208</v>
      </c>
      <c r="Q25" s="58">
        <v>41040</v>
      </c>
      <c r="R25" s="58">
        <v>41072</v>
      </c>
      <c r="S25" s="59">
        <v>32</v>
      </c>
      <c r="T25" s="59">
        <v>17</v>
      </c>
    </row>
    <row r="26" spans="1:20">
      <c r="A26" s="1">
        <v>41061</v>
      </c>
      <c r="B26" s="20"/>
      <c r="C26" s="17">
        <v>12</v>
      </c>
      <c r="D26" s="4">
        <f>HDD!B40</f>
        <v>121</v>
      </c>
      <c r="Q26" s="58">
        <v>41072</v>
      </c>
      <c r="R26" s="58">
        <v>41101</v>
      </c>
      <c r="S26" s="59">
        <v>29</v>
      </c>
      <c r="T26" s="59">
        <v>12</v>
      </c>
    </row>
    <row r="27" spans="1:20">
      <c r="A27" s="1">
        <v>41091</v>
      </c>
      <c r="B27" s="20"/>
      <c r="C27" s="17">
        <v>9</v>
      </c>
      <c r="D27" s="4">
        <f>HDD!B41</f>
        <v>22</v>
      </c>
      <c r="Q27" s="58">
        <v>41101</v>
      </c>
      <c r="R27" s="58">
        <v>41129</v>
      </c>
      <c r="S27" s="59">
        <v>28</v>
      </c>
      <c r="T27" s="59">
        <v>9</v>
      </c>
    </row>
    <row r="28" spans="1:20">
      <c r="A28" s="1">
        <v>41122</v>
      </c>
      <c r="B28" s="4"/>
      <c r="C28" s="25"/>
      <c r="D28" s="4">
        <f>HDD!B42</f>
        <v>0</v>
      </c>
    </row>
    <row r="29" spans="1:20">
      <c r="B29" s="4"/>
      <c r="D29" s="4">
        <f>HDD!B43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F29"/>
  <sheetViews>
    <sheetView workbookViewId="0">
      <selection activeCell="F2" sqref="F2"/>
    </sheetView>
  </sheetViews>
  <sheetFormatPr defaultRowHeight="15"/>
  <cols>
    <col min="1" max="1" width="10.42578125" bestFit="1" customWidth="1"/>
    <col min="2" max="2" width="15.28515625" customWidth="1"/>
    <col min="3" max="3" width="11.42578125" customWidth="1"/>
  </cols>
  <sheetData>
    <row r="3" spans="1:6">
      <c r="B3" s="17" t="s">
        <v>39</v>
      </c>
    </row>
    <row r="4" spans="1:6">
      <c r="C4" t="s">
        <v>3</v>
      </c>
    </row>
    <row r="5" spans="1:6">
      <c r="B5" t="s">
        <v>4</v>
      </c>
      <c r="C5" t="s">
        <v>5</v>
      </c>
      <c r="D5" t="s">
        <v>1</v>
      </c>
      <c r="E5" t="s">
        <v>6</v>
      </c>
    </row>
    <row r="6" spans="1:6" s="17" customFormat="1">
      <c r="A6" s="17" t="s">
        <v>17</v>
      </c>
    </row>
    <row r="7" spans="1:6" s="17" customFormat="1">
      <c r="A7" s="1">
        <v>40452</v>
      </c>
      <c r="B7" s="17">
        <v>561</v>
      </c>
      <c r="D7" s="17">
        <f>HDD!B20</f>
        <v>442</v>
      </c>
      <c r="E7" s="17">
        <f>CDD!B11</f>
        <v>14</v>
      </c>
    </row>
    <row r="8" spans="1:6" s="17" customFormat="1">
      <c r="A8" s="1">
        <v>40483</v>
      </c>
      <c r="B8" s="17">
        <v>540</v>
      </c>
      <c r="D8" s="17">
        <f>HDD!B21</f>
        <v>710</v>
      </c>
      <c r="E8" s="17">
        <f>CDD!B12</f>
        <v>0</v>
      </c>
    </row>
    <row r="9" spans="1:6">
      <c r="A9" s="1">
        <v>40513</v>
      </c>
      <c r="B9" s="17">
        <v>531</v>
      </c>
      <c r="D9" s="17">
        <f>HDD!B22</f>
        <v>1110</v>
      </c>
      <c r="E9" s="17">
        <f>CDD!B13</f>
        <v>0</v>
      </c>
    </row>
    <row r="10" spans="1:6">
      <c r="A10" s="1">
        <v>40544</v>
      </c>
      <c r="B10" s="5">
        <v>892</v>
      </c>
      <c r="C10" s="5"/>
      <c r="D10">
        <f>HDD!B23</f>
        <v>1298</v>
      </c>
      <c r="E10">
        <f>CDD!B14</f>
        <v>0</v>
      </c>
    </row>
    <row r="11" spans="1:6">
      <c r="A11" s="1">
        <v>40575</v>
      </c>
      <c r="B11" s="5">
        <v>921</v>
      </c>
      <c r="C11" s="5"/>
      <c r="D11" s="9">
        <f>HDD!B24</f>
        <v>1070</v>
      </c>
      <c r="E11" s="9">
        <f>CDD!B15</f>
        <v>0</v>
      </c>
    </row>
    <row r="12" spans="1:6">
      <c r="A12" s="1">
        <v>40603</v>
      </c>
      <c r="B12" s="5">
        <v>891</v>
      </c>
      <c r="C12" s="5"/>
      <c r="D12" s="9">
        <f>HDD!B25</f>
        <v>885</v>
      </c>
      <c r="E12" s="9">
        <f>CDD!B16</f>
        <v>0</v>
      </c>
      <c r="F12" s="17"/>
    </row>
    <row r="13" spans="1:6">
      <c r="A13" s="1">
        <v>40634</v>
      </c>
      <c r="B13" s="5">
        <v>673</v>
      </c>
      <c r="C13" s="5"/>
      <c r="D13" s="9">
        <f>HDD!B26</f>
        <v>502</v>
      </c>
      <c r="E13" s="9">
        <f>CDD!B17</f>
        <v>12</v>
      </c>
    </row>
    <row r="14" spans="1:6">
      <c r="A14" s="1">
        <v>40664</v>
      </c>
      <c r="B14" s="5">
        <v>690</v>
      </c>
      <c r="C14" s="5"/>
      <c r="D14" s="9">
        <f>HDD!B27</f>
        <v>268</v>
      </c>
      <c r="E14" s="9">
        <f>CDD!B18</f>
        <v>63</v>
      </c>
    </row>
    <row r="15" spans="1:6">
      <c r="A15" s="1">
        <v>40695</v>
      </c>
      <c r="B15" s="5">
        <v>698</v>
      </c>
      <c r="C15" s="5"/>
      <c r="D15" s="9">
        <f>HDD!B28</f>
        <v>113</v>
      </c>
      <c r="E15" s="9">
        <f>CDD!B19</f>
        <v>122</v>
      </c>
      <c r="F15" s="17" t="s">
        <v>36</v>
      </c>
    </row>
    <row r="16" spans="1:6">
      <c r="A16" s="1">
        <v>40725</v>
      </c>
      <c r="B16" s="20">
        <v>724</v>
      </c>
      <c r="C16" s="20"/>
      <c r="D16" s="17">
        <f>HDD!B29</f>
        <v>20</v>
      </c>
      <c r="E16" s="17">
        <f>CDD!B20</f>
        <v>309</v>
      </c>
    </row>
    <row r="17" spans="1:6">
      <c r="A17" s="1">
        <v>40756</v>
      </c>
      <c r="B17" s="20">
        <v>867</v>
      </c>
      <c r="C17" s="20"/>
      <c r="D17" s="17">
        <f>HDD!B30</f>
        <v>31</v>
      </c>
      <c r="E17" s="17">
        <f>CDD!B21</f>
        <v>202</v>
      </c>
    </row>
    <row r="18" spans="1:6">
      <c r="A18" s="1">
        <v>40787</v>
      </c>
      <c r="B18" s="20">
        <v>767</v>
      </c>
      <c r="C18" s="20"/>
      <c r="D18" s="17">
        <f>HDD!B31</f>
        <v>108</v>
      </c>
      <c r="E18" s="17">
        <f>CDD!B22</f>
        <v>105</v>
      </c>
    </row>
    <row r="19" spans="1:6">
      <c r="A19" s="1">
        <v>40817</v>
      </c>
      <c r="B19" s="20">
        <v>705</v>
      </c>
      <c r="C19" s="20"/>
      <c r="D19" s="17">
        <f>HDD!B32</f>
        <v>418</v>
      </c>
      <c r="E19" s="17">
        <f>CDD!B23</f>
        <v>15</v>
      </c>
    </row>
    <row r="20" spans="1:6">
      <c r="A20" s="1">
        <v>40848</v>
      </c>
      <c r="B20" s="20">
        <v>503</v>
      </c>
      <c r="C20" s="20"/>
      <c r="D20" s="17">
        <f>HDD!B33</f>
        <v>563</v>
      </c>
      <c r="E20" s="17">
        <f>CDD!B24</f>
        <v>2</v>
      </c>
    </row>
    <row r="21" spans="1:6">
      <c r="A21" s="1">
        <v>40878</v>
      </c>
      <c r="B21" s="20">
        <v>465</v>
      </c>
      <c r="C21" s="20"/>
      <c r="D21" s="17">
        <f>HDD!B34</f>
        <v>882</v>
      </c>
      <c r="E21" s="17">
        <f>CDD!B25</f>
        <v>0</v>
      </c>
    </row>
    <row r="22" spans="1:6">
      <c r="A22" s="1">
        <v>40909</v>
      </c>
      <c r="B22" s="20">
        <v>569</v>
      </c>
      <c r="C22" s="20"/>
      <c r="D22" s="17">
        <f>HDD!B35</f>
        <v>1053</v>
      </c>
      <c r="E22" s="17">
        <f>CDD!B26</f>
        <v>0</v>
      </c>
    </row>
    <row r="23" spans="1:6">
      <c r="A23" s="1">
        <v>40940</v>
      </c>
      <c r="B23" s="20">
        <v>478</v>
      </c>
      <c r="C23" s="20"/>
      <c r="D23" s="17">
        <f>HDD!B36</f>
        <v>895</v>
      </c>
      <c r="E23" s="17">
        <f>CDD!B27</f>
        <v>0</v>
      </c>
    </row>
    <row r="24" spans="1:6">
      <c r="A24" s="1">
        <v>40969</v>
      </c>
      <c r="B24" s="20">
        <v>455</v>
      </c>
      <c r="C24" s="20"/>
      <c r="D24" s="17">
        <f>HDD!B37</f>
        <v>652</v>
      </c>
      <c r="E24" s="17">
        <f>CDD!B28</f>
        <v>23</v>
      </c>
    </row>
    <row r="25" spans="1:6">
      <c r="A25" s="1">
        <v>41000</v>
      </c>
      <c r="B25" s="20">
        <v>449</v>
      </c>
      <c r="C25" s="20"/>
      <c r="D25" s="17">
        <f>HDD!B38</f>
        <v>463</v>
      </c>
      <c r="E25" s="17">
        <f>CDD!B29</f>
        <v>26</v>
      </c>
    </row>
    <row r="26" spans="1:6">
      <c r="A26" s="1">
        <v>41030</v>
      </c>
      <c r="B26" s="20">
        <v>461</v>
      </c>
      <c r="C26" s="20"/>
      <c r="D26" s="17">
        <f>HDD!B39</f>
        <v>208</v>
      </c>
      <c r="E26" s="17">
        <f>CDD!B30</f>
        <v>60</v>
      </c>
    </row>
    <row r="27" spans="1:6">
      <c r="A27" s="1">
        <v>41061</v>
      </c>
      <c r="B27" s="20">
        <v>624</v>
      </c>
      <c r="C27" s="22"/>
      <c r="D27" s="17">
        <f>HDD!B40</f>
        <v>121</v>
      </c>
      <c r="E27" s="17">
        <f>CDD!B31</f>
        <v>128</v>
      </c>
      <c r="F27" s="17"/>
    </row>
    <row r="28" spans="1:6">
      <c r="A28" s="1">
        <v>41091</v>
      </c>
      <c r="B28" s="21">
        <v>824</v>
      </c>
      <c r="C28" s="21"/>
      <c r="D28" s="17">
        <f>HDD!B41</f>
        <v>22</v>
      </c>
      <c r="E28" s="17">
        <f>CDD!B32</f>
        <v>291</v>
      </c>
    </row>
    <row r="29" spans="1:6">
      <c r="A29" s="1">
        <v>41122</v>
      </c>
      <c r="C29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46"/>
  <sheetViews>
    <sheetView topLeftCell="A31" workbookViewId="0">
      <selection activeCell="L10" sqref="L10"/>
    </sheetView>
  </sheetViews>
  <sheetFormatPr defaultRowHeight="15"/>
  <cols>
    <col min="8" max="9" width="9.140625" style="17"/>
    <col min="16" max="16" width="9.140625" style="17"/>
    <col min="23" max="23" width="9.140625" style="17"/>
  </cols>
  <sheetData>
    <row r="1" spans="2:25">
      <c r="C1" s="17" t="s">
        <v>28</v>
      </c>
      <c r="E1" s="25">
        <f>1/E3</f>
        <v>292.99736302373282</v>
      </c>
    </row>
    <row r="2" spans="2:25">
      <c r="C2" s="17" t="s">
        <v>25</v>
      </c>
      <c r="E2" s="23">
        <f>100000/1000000</f>
        <v>0.1</v>
      </c>
    </row>
    <row r="3" spans="2:25">
      <c r="C3" s="17" t="s">
        <v>24</v>
      </c>
      <c r="E3">
        <f>3413/1000000</f>
        <v>3.4129999999999998E-3</v>
      </c>
    </row>
    <row r="4" spans="2:25">
      <c r="B4" s="17" t="s">
        <v>27</v>
      </c>
      <c r="E4">
        <v>3.34</v>
      </c>
    </row>
    <row r="5" spans="2:25">
      <c r="B5" s="17" t="s">
        <v>26</v>
      </c>
      <c r="E5">
        <v>1.0469999999999999</v>
      </c>
    </row>
    <row r="6" spans="2:25">
      <c r="K6" s="131" t="s">
        <v>2</v>
      </c>
      <c r="L6" s="131"/>
      <c r="U6" s="17" t="s">
        <v>31</v>
      </c>
      <c r="X6" s="17" t="s">
        <v>34</v>
      </c>
    </row>
    <row r="7" spans="2:25">
      <c r="J7" s="17"/>
      <c r="K7" s="17" t="s">
        <v>29</v>
      </c>
      <c r="L7" s="17"/>
      <c r="M7" s="17"/>
      <c r="N7" s="17" t="s">
        <v>30</v>
      </c>
      <c r="P7" s="17" t="s">
        <v>21</v>
      </c>
      <c r="Q7" s="17" t="s">
        <v>22</v>
      </c>
    </row>
    <row r="8" spans="2:25">
      <c r="B8" s="17"/>
      <c r="C8" s="17" t="s">
        <v>0</v>
      </c>
      <c r="D8" s="17" t="s">
        <v>21</v>
      </c>
      <c r="E8" s="17" t="s">
        <v>22</v>
      </c>
      <c r="G8" s="17" t="s">
        <v>20</v>
      </c>
      <c r="H8" s="17" t="s">
        <v>23</v>
      </c>
      <c r="J8" s="17"/>
      <c r="K8" s="17" t="s">
        <v>4</v>
      </c>
      <c r="L8" s="17" t="s">
        <v>5</v>
      </c>
      <c r="R8" s="17" t="s">
        <v>1</v>
      </c>
      <c r="S8" s="17" t="s">
        <v>6</v>
      </c>
      <c r="U8" s="17" t="s">
        <v>32</v>
      </c>
      <c r="V8" s="17" t="s">
        <v>33</v>
      </c>
      <c r="X8" s="17" t="s">
        <v>32</v>
      </c>
      <c r="Y8" s="17" t="s">
        <v>33</v>
      </c>
    </row>
    <row r="9" spans="2:25" s="17" customFormat="1">
      <c r="B9" s="17" t="s">
        <v>17</v>
      </c>
    </row>
    <row r="10" spans="2:25" s="17" customFormat="1">
      <c r="B10" s="1">
        <v>40452</v>
      </c>
      <c r="C10" s="3">
        <f>Gas!C6</f>
        <v>101</v>
      </c>
      <c r="D10" s="24">
        <f t="shared" ref="D10:D12" si="0">C10*E$2</f>
        <v>10.100000000000001</v>
      </c>
      <c r="E10" s="25">
        <f t="shared" ref="E10:E12" si="1">D10*E$5</f>
        <v>10.5747</v>
      </c>
      <c r="G10" s="25">
        <f t="shared" ref="G10:G12" si="2">D10*E$1</f>
        <v>2959.2733665397018</v>
      </c>
      <c r="H10" s="25">
        <f t="shared" ref="H10:H12" si="3">E10*E$1</f>
        <v>3098.3592147670674</v>
      </c>
      <c r="J10" s="1">
        <v>40452</v>
      </c>
      <c r="K10" s="17">
        <f>Elec!B7</f>
        <v>561</v>
      </c>
      <c r="L10" s="5">
        <f>-(Elec!C7)</f>
        <v>0</v>
      </c>
      <c r="N10" s="17">
        <f>K10*E$4</f>
        <v>1873.74</v>
      </c>
      <c r="P10" s="25">
        <f>K10*E$3</f>
        <v>1.914693</v>
      </c>
      <c r="Q10" s="25">
        <f>N10*E$3</f>
        <v>6.3950746199999999</v>
      </c>
      <c r="R10" s="17">
        <f>HDD!B20</f>
        <v>442</v>
      </c>
      <c r="S10" s="17">
        <f>CDD!B11</f>
        <v>14</v>
      </c>
      <c r="U10" s="25">
        <f>G10+K10</f>
        <v>3520.2733665397018</v>
      </c>
      <c r="V10" s="25">
        <f>H10+N10</f>
        <v>4972.0992147670677</v>
      </c>
      <c r="W10" s="25"/>
      <c r="X10" s="25">
        <f>D10+P10</f>
        <v>12.014693000000001</v>
      </c>
      <c r="Y10" s="25">
        <f>E10+Q10</f>
        <v>16.969774619999999</v>
      </c>
    </row>
    <row r="11" spans="2:25" s="17" customFormat="1">
      <c r="B11" s="1">
        <v>40483</v>
      </c>
      <c r="C11" s="3">
        <f>Gas!C7</f>
        <v>173</v>
      </c>
      <c r="D11" s="24">
        <f t="shared" si="0"/>
        <v>17.3</v>
      </c>
      <c r="E11" s="25">
        <f t="shared" si="1"/>
        <v>18.113099999999999</v>
      </c>
      <c r="G11" s="25">
        <f t="shared" si="2"/>
        <v>5068.8543803105777</v>
      </c>
      <c r="H11" s="25">
        <f t="shared" si="3"/>
        <v>5307.0905361851746</v>
      </c>
      <c r="J11" s="1">
        <v>40483</v>
      </c>
      <c r="K11" s="17">
        <f>Elec!B8</f>
        <v>540</v>
      </c>
      <c r="L11" s="5">
        <f>-(Elec!C8)</f>
        <v>0</v>
      </c>
      <c r="N11" s="17">
        <f t="shared" ref="N11:N31" si="4">K11*E$4</f>
        <v>1803.6</v>
      </c>
      <c r="P11" s="25">
        <f>K11*E$3</f>
        <v>1.8430199999999999</v>
      </c>
      <c r="Q11" s="25">
        <f t="shared" ref="Q11:Q31" si="5">N11*E$3</f>
        <v>6.1556867999999989</v>
      </c>
      <c r="R11" s="17">
        <f>HDD!B21</f>
        <v>710</v>
      </c>
      <c r="S11" s="17">
        <f>CDD!B12</f>
        <v>0</v>
      </c>
      <c r="U11" s="25">
        <f>G11+K11</f>
        <v>5608.8543803105777</v>
      </c>
      <c r="V11" s="25">
        <f>H11+N11</f>
        <v>7110.690536185175</v>
      </c>
      <c r="W11" s="25"/>
      <c r="X11" s="25">
        <f>D11+P11</f>
        <v>19.14302</v>
      </c>
      <c r="Y11" s="25">
        <f>E11+Q11</f>
        <v>24.268786799999997</v>
      </c>
    </row>
    <row r="12" spans="2:25">
      <c r="B12" s="1">
        <v>40513</v>
      </c>
      <c r="C12" s="3">
        <f>Gas!C8</f>
        <v>246</v>
      </c>
      <c r="D12" s="24">
        <f t="shared" si="0"/>
        <v>24.6</v>
      </c>
      <c r="E12" s="25">
        <f t="shared" si="1"/>
        <v>25.7562</v>
      </c>
      <c r="G12" s="25">
        <f t="shared" si="2"/>
        <v>7207.7351303838277</v>
      </c>
      <c r="H12" s="25">
        <f t="shared" si="3"/>
        <v>7546.4986815118673</v>
      </c>
      <c r="J12" s="1">
        <v>40513</v>
      </c>
      <c r="K12" s="17">
        <f>Elec!B9</f>
        <v>531</v>
      </c>
      <c r="L12" s="5">
        <f>-(Elec!C9)</f>
        <v>0</v>
      </c>
      <c r="N12" s="17">
        <f t="shared" si="4"/>
        <v>1773.54</v>
      </c>
      <c r="O12" s="17"/>
      <c r="P12" s="25">
        <f>K12*E$3</f>
        <v>1.812303</v>
      </c>
      <c r="Q12" s="25">
        <f t="shared" si="5"/>
        <v>6.0530920199999994</v>
      </c>
      <c r="R12" s="17">
        <f>HDD!B22</f>
        <v>1110</v>
      </c>
      <c r="S12" s="17">
        <f>CDD!B13</f>
        <v>0</v>
      </c>
      <c r="T12" s="17"/>
      <c r="U12" s="25">
        <f>G12+K12</f>
        <v>7738.7351303838277</v>
      </c>
      <c r="V12" s="25">
        <f>H12+N12</f>
        <v>9320.0386815118673</v>
      </c>
      <c r="W12" s="25"/>
      <c r="X12" s="25">
        <f>D12+P12</f>
        <v>26.412303000000001</v>
      </c>
      <c r="Y12" s="25">
        <f>E12+Q12</f>
        <v>31.809292020000001</v>
      </c>
    </row>
    <row r="13" spans="2:25">
      <c r="B13" s="1">
        <v>40544</v>
      </c>
      <c r="C13" s="3">
        <f>Gas!C9</f>
        <v>295</v>
      </c>
      <c r="D13" s="24">
        <f>C13*E$2</f>
        <v>29.5</v>
      </c>
      <c r="E13" s="25">
        <f t="shared" ref="E13:E31" si="6">D13*E$5</f>
        <v>30.886499999999998</v>
      </c>
      <c r="G13" s="25">
        <f t="shared" ref="G13:G31" si="7">D13*E$1</f>
        <v>8643.4222092001182</v>
      </c>
      <c r="H13" s="25">
        <f t="shared" ref="H13:H31" si="8">E13*E$1</f>
        <v>9049.6630530325237</v>
      </c>
      <c r="I13" s="25"/>
      <c r="J13" s="1">
        <v>40544</v>
      </c>
      <c r="K13" s="17">
        <f>Elec!B10</f>
        <v>892</v>
      </c>
      <c r="L13" s="5">
        <f>-(Elec!C10)</f>
        <v>0</v>
      </c>
      <c r="N13" s="17">
        <f t="shared" si="4"/>
        <v>2979.2799999999997</v>
      </c>
      <c r="P13" s="25">
        <f>K13*E$3</f>
        <v>3.0443959999999999</v>
      </c>
      <c r="Q13" s="25">
        <f t="shared" si="5"/>
        <v>10.168282639999999</v>
      </c>
      <c r="R13" s="17">
        <f>HDD!B23</f>
        <v>1298</v>
      </c>
      <c r="S13" s="17">
        <f>CDD!B14</f>
        <v>0</v>
      </c>
      <c r="U13" s="25">
        <f>G13+K13</f>
        <v>9535.4222092001182</v>
      </c>
      <c r="V13" s="25">
        <f>H13+N13</f>
        <v>12028.943053032523</v>
      </c>
      <c r="W13" s="25"/>
      <c r="X13" s="25">
        <f>D13+P13</f>
        <v>32.544395999999999</v>
      </c>
      <c r="Y13" s="25">
        <f>E13+Q13</f>
        <v>41.054782639999999</v>
      </c>
    </row>
    <row r="14" spans="2:25">
      <c r="B14" s="1">
        <v>40575</v>
      </c>
      <c r="C14" s="3">
        <f>Gas!C10</f>
        <v>157</v>
      </c>
      <c r="D14" s="24">
        <f t="shared" ref="D14:D31" si="9">C14*E$2</f>
        <v>15.700000000000001</v>
      </c>
      <c r="E14" s="25">
        <f t="shared" si="6"/>
        <v>16.437899999999999</v>
      </c>
      <c r="G14" s="25">
        <f t="shared" si="7"/>
        <v>4600.0585994726052</v>
      </c>
      <c r="H14" s="25">
        <f t="shared" si="8"/>
        <v>4816.2613536478175</v>
      </c>
      <c r="I14" s="25"/>
      <c r="J14" s="1">
        <v>40575</v>
      </c>
      <c r="K14" s="17">
        <f>Elec!B11</f>
        <v>921</v>
      </c>
      <c r="L14" s="5">
        <f>-(Elec!C11)</f>
        <v>0</v>
      </c>
      <c r="N14" s="17">
        <f t="shared" si="4"/>
        <v>3076.14</v>
      </c>
      <c r="P14" s="25">
        <f>K14*E$3</f>
        <v>3.143373</v>
      </c>
      <c r="Q14" s="25">
        <f t="shared" si="5"/>
        <v>10.498865819999999</v>
      </c>
      <c r="R14" s="17">
        <f>HDD!B24</f>
        <v>1070</v>
      </c>
      <c r="S14" s="17">
        <f>CDD!B15</f>
        <v>0</v>
      </c>
      <c r="U14" s="25">
        <f>G14+K14</f>
        <v>5521.0585994726052</v>
      </c>
      <c r="V14" s="25">
        <f>H14+N14</f>
        <v>7892.4013536478178</v>
      </c>
      <c r="W14" s="25"/>
      <c r="X14" s="25">
        <f>D14+P14</f>
        <v>18.843373</v>
      </c>
      <c r="Y14" s="25">
        <f>E14+Q14</f>
        <v>26.936765819999998</v>
      </c>
    </row>
    <row r="15" spans="2:25">
      <c r="B15" s="1">
        <v>40603</v>
      </c>
      <c r="C15" s="3">
        <f>Gas!C11</f>
        <v>91</v>
      </c>
      <c r="D15" s="24">
        <f t="shared" si="9"/>
        <v>9.1</v>
      </c>
      <c r="E15" s="25">
        <f t="shared" si="6"/>
        <v>9.5276999999999994</v>
      </c>
      <c r="G15" s="25">
        <f t="shared" si="7"/>
        <v>2666.2760035159686</v>
      </c>
      <c r="H15" s="25">
        <f t="shared" si="8"/>
        <v>2791.5909756812189</v>
      </c>
      <c r="I15" s="25"/>
      <c r="J15" s="1">
        <v>40603</v>
      </c>
      <c r="K15" s="17">
        <f>Elec!B12</f>
        <v>891</v>
      </c>
      <c r="L15" s="5">
        <f>-(Elec!C12)</f>
        <v>0</v>
      </c>
      <c r="N15" s="17">
        <f t="shared" si="4"/>
        <v>2975.94</v>
      </c>
      <c r="P15" s="25">
        <f>K15*E$3</f>
        <v>3.0409829999999998</v>
      </c>
      <c r="Q15" s="25">
        <f t="shared" si="5"/>
        <v>10.156883219999999</v>
      </c>
      <c r="R15" s="17">
        <f>HDD!B25</f>
        <v>885</v>
      </c>
      <c r="S15" s="17">
        <f>CDD!B16</f>
        <v>0</v>
      </c>
      <c r="U15" s="25">
        <f>G15+K15</f>
        <v>3557.2760035159686</v>
      </c>
      <c r="V15" s="25">
        <f>H15+N15</f>
        <v>5767.5309756812185</v>
      </c>
      <c r="W15" s="25"/>
      <c r="X15" s="25">
        <f>D15+P15</f>
        <v>12.140982999999999</v>
      </c>
      <c r="Y15" s="25">
        <f>E15+Q15</f>
        <v>19.68458322</v>
      </c>
    </row>
    <row r="16" spans="2:25">
      <c r="B16" s="1">
        <v>40634</v>
      </c>
      <c r="C16" s="3">
        <f>Gas!C12</f>
        <v>48</v>
      </c>
      <c r="D16" s="24">
        <f t="shared" si="9"/>
        <v>4.8000000000000007</v>
      </c>
      <c r="E16" s="25">
        <f t="shared" si="6"/>
        <v>5.0256000000000007</v>
      </c>
      <c r="G16" s="25">
        <f t="shared" si="7"/>
        <v>1406.3873425139177</v>
      </c>
      <c r="H16" s="25">
        <f t="shared" si="8"/>
        <v>1472.4875476120719</v>
      </c>
      <c r="I16" s="25"/>
      <c r="J16" s="1">
        <v>40634</v>
      </c>
      <c r="K16" s="17">
        <f>Elec!B13</f>
        <v>673</v>
      </c>
      <c r="L16" s="5">
        <f>-(Elec!C13)</f>
        <v>0</v>
      </c>
      <c r="N16" s="17">
        <f t="shared" si="4"/>
        <v>2247.8199999999997</v>
      </c>
      <c r="P16" s="25">
        <f>K16*E$3</f>
        <v>2.2969489999999997</v>
      </c>
      <c r="Q16" s="25">
        <f t="shared" si="5"/>
        <v>7.6718096599999983</v>
      </c>
      <c r="R16" s="17">
        <f>HDD!B26</f>
        <v>502</v>
      </c>
      <c r="S16" s="17">
        <f>CDD!B17</f>
        <v>12</v>
      </c>
      <c r="U16" s="25">
        <f>G16+K16</f>
        <v>2079.3873425139177</v>
      </c>
      <c r="V16" s="25">
        <f>H16+N16</f>
        <v>3720.3075476120716</v>
      </c>
      <c r="W16" s="25"/>
      <c r="X16" s="25">
        <f>D16+P16</f>
        <v>7.0969490000000004</v>
      </c>
      <c r="Y16" s="25">
        <f>E16+Q16</f>
        <v>12.697409659999998</v>
      </c>
    </row>
    <row r="17" spans="2:25">
      <c r="B17" s="1">
        <v>40664</v>
      </c>
      <c r="C17" s="3">
        <f>Gas!C13</f>
        <v>19</v>
      </c>
      <c r="D17" s="24">
        <f t="shared" si="9"/>
        <v>1.9000000000000001</v>
      </c>
      <c r="E17" s="25">
        <f t="shared" si="6"/>
        <v>1.9893000000000001</v>
      </c>
      <c r="G17" s="25">
        <f t="shared" si="7"/>
        <v>556.69498974509236</v>
      </c>
      <c r="H17" s="25">
        <f t="shared" si="8"/>
        <v>582.85965426311168</v>
      </c>
      <c r="I17" s="25"/>
      <c r="J17" s="1">
        <v>40664</v>
      </c>
      <c r="K17" s="17">
        <f>Elec!B14</f>
        <v>690</v>
      </c>
      <c r="L17" s="5">
        <f>-(Elec!C14)</f>
        <v>0</v>
      </c>
      <c r="N17" s="17">
        <f t="shared" si="4"/>
        <v>2304.6</v>
      </c>
      <c r="P17" s="25">
        <f>K17*E$3</f>
        <v>2.3549699999999998</v>
      </c>
      <c r="Q17" s="25">
        <f t="shared" si="5"/>
        <v>7.8655997999999991</v>
      </c>
      <c r="R17" s="17">
        <f>HDD!B27</f>
        <v>268</v>
      </c>
      <c r="S17" s="17">
        <f>CDD!B18</f>
        <v>63</v>
      </c>
      <c r="U17" s="25">
        <f>G17+K17</f>
        <v>1246.6949897450922</v>
      </c>
      <c r="V17" s="25">
        <f>H17+N17</f>
        <v>2887.4596542631116</v>
      </c>
      <c r="W17" s="25"/>
      <c r="X17" s="25">
        <f>D17+P17</f>
        <v>4.2549700000000001</v>
      </c>
      <c r="Y17" s="25">
        <f>E17+Q17</f>
        <v>9.8548997999999983</v>
      </c>
    </row>
    <row r="18" spans="2:25">
      <c r="B18" s="1">
        <v>40695</v>
      </c>
      <c r="C18" s="3">
        <f>Gas!C14</f>
        <v>15</v>
      </c>
      <c r="D18" s="24">
        <f t="shared" si="9"/>
        <v>1.5</v>
      </c>
      <c r="E18" s="25">
        <f t="shared" si="6"/>
        <v>1.5705</v>
      </c>
      <c r="G18" s="25">
        <f t="shared" si="7"/>
        <v>439.49604453559925</v>
      </c>
      <c r="H18" s="25">
        <f t="shared" si="8"/>
        <v>460.15235862877239</v>
      </c>
      <c r="I18" s="25"/>
      <c r="J18" s="1">
        <v>40695</v>
      </c>
      <c r="K18" s="17">
        <f>Elec!B15</f>
        <v>698</v>
      </c>
      <c r="L18" s="5">
        <f>-(Elec!C15)</f>
        <v>0</v>
      </c>
      <c r="N18" s="17">
        <f t="shared" si="4"/>
        <v>2331.3199999999997</v>
      </c>
      <c r="P18" s="25">
        <f>K18*E$3</f>
        <v>2.3822739999999998</v>
      </c>
      <c r="Q18" s="25">
        <f t="shared" si="5"/>
        <v>7.9567951599999986</v>
      </c>
      <c r="R18" s="17">
        <f>HDD!B28</f>
        <v>113</v>
      </c>
      <c r="S18" s="17">
        <f>CDD!B19</f>
        <v>122</v>
      </c>
      <c r="U18" s="44">
        <f>G18+K18</f>
        <v>1137.4960445355991</v>
      </c>
      <c r="V18" s="45">
        <f>H18+N18</f>
        <v>2791.4723586287719</v>
      </c>
      <c r="W18" s="45"/>
      <c r="X18" s="45">
        <f>D18+P18</f>
        <v>3.8822739999999998</v>
      </c>
      <c r="Y18" s="46">
        <f>E18+Q18</f>
        <v>9.5272951599999978</v>
      </c>
    </row>
    <row r="19" spans="2:25">
      <c r="B19" s="1">
        <v>40735</v>
      </c>
      <c r="C19" s="3">
        <f>Gas!C15</f>
        <v>12</v>
      </c>
      <c r="D19" s="24">
        <f t="shared" si="9"/>
        <v>1.2000000000000002</v>
      </c>
      <c r="E19" s="25">
        <f t="shared" si="6"/>
        <v>1.2564000000000002</v>
      </c>
      <c r="G19" s="25">
        <f t="shared" si="7"/>
        <v>351.59683562847943</v>
      </c>
      <c r="H19" s="25">
        <f t="shared" si="8"/>
        <v>368.12188690301798</v>
      </c>
      <c r="I19" s="25"/>
      <c r="J19" s="1">
        <v>40725</v>
      </c>
      <c r="K19" s="17">
        <f>Elec!B16</f>
        <v>724</v>
      </c>
      <c r="L19" s="20">
        <f>-(Elec!C16)</f>
        <v>0</v>
      </c>
      <c r="N19" s="17">
        <f t="shared" si="4"/>
        <v>2418.16</v>
      </c>
      <c r="P19" s="25">
        <f>K19*E$3</f>
        <v>2.471012</v>
      </c>
      <c r="Q19" s="25">
        <f t="shared" si="5"/>
        <v>8.2531800799999981</v>
      </c>
      <c r="R19" s="17">
        <f>HDD!B29</f>
        <v>20</v>
      </c>
      <c r="S19" s="17">
        <f>CDD!B20</f>
        <v>309</v>
      </c>
      <c r="U19" s="47">
        <f>G19+K19</f>
        <v>1075.5968356284793</v>
      </c>
      <c r="V19" s="36">
        <f>H19+N19</f>
        <v>2786.2818869030179</v>
      </c>
      <c r="W19" s="36"/>
      <c r="X19" s="36">
        <f>D19+P19</f>
        <v>3.6710120000000002</v>
      </c>
      <c r="Y19" s="48">
        <f>E19+Q19</f>
        <v>9.5095800799999992</v>
      </c>
    </row>
    <row r="20" spans="2:25">
      <c r="B20" s="1">
        <v>40766</v>
      </c>
      <c r="C20" s="3">
        <f>Gas!C16</f>
        <v>15</v>
      </c>
      <c r="D20" s="24">
        <f t="shared" si="9"/>
        <v>1.5</v>
      </c>
      <c r="E20" s="25">
        <f t="shared" si="6"/>
        <v>1.5705</v>
      </c>
      <c r="G20" s="25">
        <f t="shared" si="7"/>
        <v>439.49604453559925</v>
      </c>
      <c r="H20" s="25">
        <f t="shared" si="8"/>
        <v>460.15235862877239</v>
      </c>
      <c r="I20" s="25"/>
      <c r="J20" s="1">
        <v>40756</v>
      </c>
      <c r="K20" s="17">
        <f>Elec!B17</f>
        <v>867</v>
      </c>
      <c r="L20" s="20">
        <f>-(Elec!C17)</f>
        <v>0</v>
      </c>
      <c r="N20" s="17">
        <f t="shared" si="4"/>
        <v>2895.7799999999997</v>
      </c>
      <c r="P20" s="25">
        <f>K20*E$3</f>
        <v>2.9590709999999998</v>
      </c>
      <c r="Q20" s="25">
        <f t="shared" si="5"/>
        <v>9.883297139999998</v>
      </c>
      <c r="R20" s="17">
        <f>HDD!B30</f>
        <v>31</v>
      </c>
      <c r="S20" s="17">
        <f>CDD!B21</f>
        <v>202</v>
      </c>
      <c r="U20" s="47">
        <f>G20+K20</f>
        <v>1306.4960445355991</v>
      </c>
      <c r="V20" s="36">
        <f>H20+N20</f>
        <v>3355.9323586287719</v>
      </c>
      <c r="W20" s="36"/>
      <c r="X20" s="36">
        <f>D20+P20</f>
        <v>4.4590709999999998</v>
      </c>
      <c r="Y20" s="48">
        <f>E20+Q20</f>
        <v>11.453797139999999</v>
      </c>
    </row>
    <row r="21" spans="2:25">
      <c r="B21" s="1">
        <v>40797</v>
      </c>
      <c r="C21" s="3">
        <f>Gas!C17</f>
        <v>16</v>
      </c>
      <c r="D21" s="24">
        <f t="shared" si="9"/>
        <v>1.6</v>
      </c>
      <c r="E21" s="25">
        <f t="shared" si="6"/>
        <v>1.6752</v>
      </c>
      <c r="G21" s="25">
        <f t="shared" si="7"/>
        <v>468.79578083797253</v>
      </c>
      <c r="H21" s="25">
        <f t="shared" si="8"/>
        <v>490.82918253735721</v>
      </c>
      <c r="I21" s="25"/>
      <c r="J21" s="1">
        <v>40787</v>
      </c>
      <c r="K21" s="17">
        <f>Elec!B18</f>
        <v>767</v>
      </c>
      <c r="L21" s="20">
        <f>-(Elec!C18)</f>
        <v>0</v>
      </c>
      <c r="N21" s="17">
        <f t="shared" si="4"/>
        <v>2561.7799999999997</v>
      </c>
      <c r="P21" s="25">
        <f>K21*E$3</f>
        <v>2.6177709999999998</v>
      </c>
      <c r="Q21" s="25">
        <f t="shared" si="5"/>
        <v>8.7433551399999985</v>
      </c>
      <c r="R21" s="17">
        <f>HDD!B31</f>
        <v>108</v>
      </c>
      <c r="S21" s="17">
        <f>CDD!B22</f>
        <v>105</v>
      </c>
      <c r="U21" s="47">
        <f>G21+K21</f>
        <v>1235.7957808379724</v>
      </c>
      <c r="V21" s="36">
        <f>H21+N21</f>
        <v>3052.6091825373569</v>
      </c>
      <c r="W21" s="36"/>
      <c r="X21" s="36">
        <f>D21+P21</f>
        <v>4.2177709999999999</v>
      </c>
      <c r="Y21" s="48">
        <f>E21+Q21</f>
        <v>10.418555139999999</v>
      </c>
    </row>
    <row r="22" spans="2:25">
      <c r="B22" s="1">
        <v>40827</v>
      </c>
      <c r="C22" s="3">
        <f>Gas!C18</f>
        <v>30</v>
      </c>
      <c r="D22" s="24">
        <f t="shared" si="9"/>
        <v>3</v>
      </c>
      <c r="E22" s="25">
        <f t="shared" si="6"/>
        <v>3.141</v>
      </c>
      <c r="G22" s="25">
        <f t="shared" si="7"/>
        <v>878.99208907119851</v>
      </c>
      <c r="H22" s="25">
        <f t="shared" si="8"/>
        <v>920.30471725754478</v>
      </c>
      <c r="I22" s="25"/>
      <c r="J22" s="1">
        <v>40817</v>
      </c>
      <c r="K22" s="17">
        <f>Elec!B19</f>
        <v>705</v>
      </c>
      <c r="L22" s="20">
        <f>-(Elec!C19)</f>
        <v>0</v>
      </c>
      <c r="N22" s="17">
        <f t="shared" si="4"/>
        <v>2354.6999999999998</v>
      </c>
      <c r="P22" s="25">
        <f>K22*E$3</f>
        <v>2.4061649999999997</v>
      </c>
      <c r="Q22" s="25">
        <f t="shared" si="5"/>
        <v>8.036591099999999</v>
      </c>
      <c r="R22" s="17">
        <f>HDD!B32</f>
        <v>418</v>
      </c>
      <c r="S22" s="17">
        <f>CDD!B23</f>
        <v>15</v>
      </c>
      <c r="U22" s="47">
        <f>G22+K22</f>
        <v>1583.9920890711985</v>
      </c>
      <c r="V22" s="36">
        <f>H22+N22</f>
        <v>3275.0047172575446</v>
      </c>
      <c r="W22" s="36"/>
      <c r="X22" s="36">
        <f>D22+P22</f>
        <v>5.4061649999999997</v>
      </c>
      <c r="Y22" s="48">
        <f>E22+Q22</f>
        <v>11.177591099999999</v>
      </c>
    </row>
    <row r="23" spans="2:25">
      <c r="B23" s="1">
        <v>40858</v>
      </c>
      <c r="C23" s="3">
        <f>Gas!C19</f>
        <v>45</v>
      </c>
      <c r="D23" s="24">
        <f t="shared" si="9"/>
        <v>4.5</v>
      </c>
      <c r="E23" s="25">
        <f t="shared" si="6"/>
        <v>4.7115</v>
      </c>
      <c r="G23" s="25">
        <f t="shared" si="7"/>
        <v>1318.4881336067976</v>
      </c>
      <c r="H23" s="25">
        <f t="shared" si="8"/>
        <v>1380.4570758863172</v>
      </c>
      <c r="I23" s="25"/>
      <c r="J23" s="1">
        <v>40848</v>
      </c>
      <c r="K23" s="17">
        <f>Elec!B20</f>
        <v>503</v>
      </c>
      <c r="L23" s="20">
        <f>-(Elec!C20)</f>
        <v>0</v>
      </c>
      <c r="N23" s="17">
        <f t="shared" si="4"/>
        <v>1680.02</v>
      </c>
      <c r="P23" s="25">
        <f>K23*E$3</f>
        <v>1.7167389999999998</v>
      </c>
      <c r="Q23" s="25">
        <f t="shared" si="5"/>
        <v>5.7339082599999998</v>
      </c>
      <c r="R23" s="17">
        <f>HDD!B33</f>
        <v>563</v>
      </c>
      <c r="S23" s="17">
        <f>CDD!B24</f>
        <v>2</v>
      </c>
      <c r="U23" s="47">
        <f>G23+K23</f>
        <v>1821.4881336067976</v>
      </c>
      <c r="V23" s="36">
        <f>H23+N23</f>
        <v>3060.4770758863169</v>
      </c>
      <c r="W23" s="36"/>
      <c r="X23" s="36">
        <f>D23+P23</f>
        <v>6.2167389999999996</v>
      </c>
      <c r="Y23" s="48">
        <f>E23+Q23</f>
        <v>10.445408260000001</v>
      </c>
    </row>
    <row r="24" spans="2:25">
      <c r="B24" s="1">
        <v>40888</v>
      </c>
      <c r="C24" s="3">
        <f>Gas!C20</f>
        <v>68</v>
      </c>
      <c r="D24" s="24">
        <f t="shared" si="9"/>
        <v>6.8000000000000007</v>
      </c>
      <c r="E24" s="25">
        <f t="shared" si="6"/>
        <v>7.1196000000000002</v>
      </c>
      <c r="G24" s="25">
        <f t="shared" si="7"/>
        <v>1992.3820685613834</v>
      </c>
      <c r="H24" s="25">
        <f t="shared" si="8"/>
        <v>2086.0240257837681</v>
      </c>
      <c r="I24" s="25"/>
      <c r="J24" s="1">
        <v>40878</v>
      </c>
      <c r="K24" s="17">
        <f>Elec!B21</f>
        <v>465</v>
      </c>
      <c r="L24" s="20">
        <f>-(Elec!C21)</f>
        <v>0</v>
      </c>
      <c r="N24" s="17">
        <f t="shared" si="4"/>
        <v>1553.1</v>
      </c>
      <c r="P24" s="25">
        <f>K24*E$3</f>
        <v>1.5870449999999998</v>
      </c>
      <c r="Q24" s="25">
        <f t="shared" si="5"/>
        <v>5.3007302999999997</v>
      </c>
      <c r="R24" s="17">
        <f>HDD!B34</f>
        <v>882</v>
      </c>
      <c r="S24" s="17">
        <f>CDD!B25</f>
        <v>0</v>
      </c>
      <c r="U24" s="47">
        <f>G24+K24</f>
        <v>2457.3820685613837</v>
      </c>
      <c r="V24" s="36">
        <f>H24+N24</f>
        <v>3639.124025783768</v>
      </c>
      <c r="W24" s="36"/>
      <c r="X24" s="36">
        <f>D24+P24</f>
        <v>8.3870450000000005</v>
      </c>
      <c r="Y24" s="48">
        <f>E24+Q24</f>
        <v>12.4203303</v>
      </c>
    </row>
    <row r="25" spans="2:25">
      <c r="B25" s="1">
        <v>40920</v>
      </c>
      <c r="C25" s="3">
        <f>Gas!C21</f>
        <v>72</v>
      </c>
      <c r="D25" s="24">
        <f t="shared" si="9"/>
        <v>7.2</v>
      </c>
      <c r="E25" s="25">
        <f t="shared" si="6"/>
        <v>7.5383999999999993</v>
      </c>
      <c r="G25" s="25">
        <f t="shared" si="7"/>
        <v>2109.5810137708763</v>
      </c>
      <c r="H25" s="25">
        <f t="shared" si="8"/>
        <v>2208.7313214181072</v>
      </c>
      <c r="I25" s="25"/>
      <c r="J25" s="1">
        <v>40909</v>
      </c>
      <c r="K25" s="17">
        <f>Elec!B22</f>
        <v>569</v>
      </c>
      <c r="L25" s="20">
        <f>-(Elec!C22)</f>
        <v>0</v>
      </c>
      <c r="N25" s="17">
        <f t="shared" si="4"/>
        <v>1900.4599999999998</v>
      </c>
      <c r="P25" s="25">
        <f>K25*E$3</f>
        <v>1.941997</v>
      </c>
      <c r="Q25" s="25">
        <f t="shared" si="5"/>
        <v>6.4862699799999985</v>
      </c>
      <c r="R25" s="17">
        <f>HDD!B35</f>
        <v>1053</v>
      </c>
      <c r="S25" s="17">
        <f>CDD!B26</f>
        <v>0</v>
      </c>
      <c r="U25" s="47">
        <f>G25+K25</f>
        <v>2678.5810137708763</v>
      </c>
      <c r="V25" s="36">
        <f>H25+N25</f>
        <v>4109.1913214181068</v>
      </c>
      <c r="W25" s="36"/>
      <c r="X25" s="36">
        <f>D25+P25</f>
        <v>9.1419969999999999</v>
      </c>
      <c r="Y25" s="48">
        <f>E25+Q25</f>
        <v>14.024669979999999</v>
      </c>
    </row>
    <row r="26" spans="2:25">
      <c r="B26" s="1">
        <v>40940</v>
      </c>
      <c r="C26" s="3">
        <f>Gas!C22</f>
        <v>70</v>
      </c>
      <c r="D26" s="24">
        <f t="shared" si="9"/>
        <v>7</v>
      </c>
      <c r="E26" s="25">
        <f t="shared" si="6"/>
        <v>7.3289999999999997</v>
      </c>
      <c r="G26" s="25">
        <f t="shared" si="7"/>
        <v>2050.9815411661298</v>
      </c>
      <c r="H26" s="25">
        <f t="shared" si="8"/>
        <v>2147.3776736009377</v>
      </c>
      <c r="I26" s="25"/>
      <c r="J26" s="1">
        <v>40940</v>
      </c>
      <c r="K26" s="17">
        <f>Elec!B23</f>
        <v>478</v>
      </c>
      <c r="L26" s="20">
        <f>-(Elec!C23)</f>
        <v>0</v>
      </c>
      <c r="N26" s="17">
        <f t="shared" si="4"/>
        <v>1596.52</v>
      </c>
      <c r="P26" s="25">
        <f>K26*E$3</f>
        <v>1.6314139999999999</v>
      </c>
      <c r="Q26" s="25">
        <f t="shared" si="5"/>
        <v>5.4489227599999994</v>
      </c>
      <c r="R26" s="17">
        <f>HDD!B36</f>
        <v>895</v>
      </c>
      <c r="S26" s="17">
        <f>CDD!B27</f>
        <v>0</v>
      </c>
      <c r="U26" s="47">
        <f>G26+K26</f>
        <v>2528.9815411661298</v>
      </c>
      <c r="V26" s="36">
        <f>H26+N26</f>
        <v>3743.8976736009377</v>
      </c>
      <c r="W26" s="36"/>
      <c r="X26" s="36">
        <f>D26+P26</f>
        <v>8.6314139999999995</v>
      </c>
      <c r="Y26" s="48">
        <f>E26+Q26</f>
        <v>12.777922759999999</v>
      </c>
    </row>
    <row r="27" spans="2:25">
      <c r="B27" s="1">
        <v>40969</v>
      </c>
      <c r="C27" s="3">
        <f>Gas!C23</f>
        <v>39</v>
      </c>
      <c r="D27" s="24">
        <f t="shared" si="9"/>
        <v>3.9000000000000004</v>
      </c>
      <c r="E27" s="25">
        <f t="shared" si="6"/>
        <v>4.0833000000000004</v>
      </c>
      <c r="G27" s="25">
        <f t="shared" si="7"/>
        <v>1142.689715792558</v>
      </c>
      <c r="H27" s="25">
        <f t="shared" si="8"/>
        <v>1196.3961324348084</v>
      </c>
      <c r="I27" s="25"/>
      <c r="J27" s="1">
        <v>40969</v>
      </c>
      <c r="K27" s="17">
        <f>Elec!B24</f>
        <v>455</v>
      </c>
      <c r="L27" s="20">
        <f>-(Elec!C24)</f>
        <v>0</v>
      </c>
      <c r="N27" s="17">
        <f t="shared" si="4"/>
        <v>1519.7</v>
      </c>
      <c r="P27" s="25">
        <f>K27*E$3</f>
        <v>1.5529149999999998</v>
      </c>
      <c r="Q27" s="25">
        <f t="shared" si="5"/>
        <v>5.1867361000000001</v>
      </c>
      <c r="R27" s="17">
        <f>HDD!B37</f>
        <v>652</v>
      </c>
      <c r="S27" s="17">
        <f>CDD!B28</f>
        <v>23</v>
      </c>
      <c r="U27" s="47">
        <f>G27+K27</f>
        <v>1597.689715792558</v>
      </c>
      <c r="V27" s="36">
        <f>H27+N27</f>
        <v>2716.0961324348082</v>
      </c>
      <c r="W27" s="36"/>
      <c r="X27" s="36">
        <f>D27+P27</f>
        <v>5.452915</v>
      </c>
      <c r="Y27" s="48">
        <f>E27+Q27</f>
        <v>9.2700361000000004</v>
      </c>
    </row>
    <row r="28" spans="2:25">
      <c r="B28" s="1">
        <v>41000</v>
      </c>
      <c r="C28" s="3">
        <f>Gas!C24</f>
        <v>24</v>
      </c>
      <c r="D28" s="24">
        <f t="shared" si="9"/>
        <v>2.4000000000000004</v>
      </c>
      <c r="E28" s="25">
        <f t="shared" si="6"/>
        <v>2.5128000000000004</v>
      </c>
      <c r="G28" s="25">
        <f t="shared" si="7"/>
        <v>703.19367125695885</v>
      </c>
      <c r="H28" s="25">
        <f t="shared" si="8"/>
        <v>736.24377380603596</v>
      </c>
      <c r="I28" s="25"/>
      <c r="J28" s="1">
        <v>41000</v>
      </c>
      <c r="K28" s="17">
        <f>Elec!B25</f>
        <v>449</v>
      </c>
      <c r="L28" s="20">
        <f>-(Elec!C25)</f>
        <v>0</v>
      </c>
      <c r="N28" s="17">
        <f t="shared" si="4"/>
        <v>1499.6599999999999</v>
      </c>
      <c r="P28" s="25">
        <f>K28*E$3</f>
        <v>1.5324369999999998</v>
      </c>
      <c r="Q28" s="25">
        <f t="shared" si="5"/>
        <v>5.1183395799999989</v>
      </c>
      <c r="R28" s="17">
        <f>HDD!B38</f>
        <v>463</v>
      </c>
      <c r="S28" s="17">
        <f>CDD!B29</f>
        <v>26</v>
      </c>
      <c r="U28" s="47">
        <f>G28+K28</f>
        <v>1152.1936712569589</v>
      </c>
      <c r="V28" s="36">
        <f>H28+N28</f>
        <v>2235.903773806036</v>
      </c>
      <c r="W28" s="36"/>
      <c r="X28" s="36">
        <f>D28+P28</f>
        <v>3.9324370000000002</v>
      </c>
      <c r="Y28" s="48">
        <f>E28+Q28</f>
        <v>7.6311395799999993</v>
      </c>
    </row>
    <row r="29" spans="2:25">
      <c r="B29" s="1">
        <v>41030</v>
      </c>
      <c r="C29" s="3">
        <f>Gas!C25</f>
        <v>17</v>
      </c>
      <c r="D29" s="24">
        <f t="shared" si="9"/>
        <v>1.7000000000000002</v>
      </c>
      <c r="E29" s="25">
        <f t="shared" si="6"/>
        <v>1.7799</v>
      </c>
      <c r="G29" s="25">
        <f t="shared" si="7"/>
        <v>498.09551714034586</v>
      </c>
      <c r="H29" s="25">
        <f t="shared" si="8"/>
        <v>521.50600644594203</v>
      </c>
      <c r="I29" s="25"/>
      <c r="J29" s="1">
        <v>41030</v>
      </c>
      <c r="K29" s="17">
        <f>Elec!B26</f>
        <v>461</v>
      </c>
      <c r="L29" s="20">
        <f>-(Elec!C26)</f>
        <v>0</v>
      </c>
      <c r="N29" s="17">
        <f t="shared" si="4"/>
        <v>1539.74</v>
      </c>
      <c r="P29" s="25">
        <f>K29*E$3</f>
        <v>1.5733929999999998</v>
      </c>
      <c r="Q29" s="25">
        <f t="shared" si="5"/>
        <v>5.2551326199999995</v>
      </c>
      <c r="R29" s="17">
        <f>HDD!B39</f>
        <v>208</v>
      </c>
      <c r="S29" s="17">
        <f>CDD!B30</f>
        <v>60</v>
      </c>
      <c r="U29" s="47">
        <f>G29+K29</f>
        <v>959.09551714034592</v>
      </c>
      <c r="V29" s="36">
        <f>H29+N29</f>
        <v>2061.2460064459419</v>
      </c>
      <c r="W29" s="36"/>
      <c r="X29" s="36">
        <f>D29+P29</f>
        <v>3.273393</v>
      </c>
      <c r="Y29" s="48">
        <f>E29+Q29</f>
        <v>7.0350326199999991</v>
      </c>
    </row>
    <row r="30" spans="2:25">
      <c r="B30" s="1">
        <v>41061</v>
      </c>
      <c r="C30" s="3">
        <f>Gas!C26</f>
        <v>12</v>
      </c>
      <c r="D30" s="24">
        <f t="shared" si="9"/>
        <v>1.2000000000000002</v>
      </c>
      <c r="E30" s="25">
        <f t="shared" si="6"/>
        <v>1.2564000000000002</v>
      </c>
      <c r="G30" s="25">
        <f t="shared" si="7"/>
        <v>351.59683562847943</v>
      </c>
      <c r="H30" s="25">
        <f t="shared" si="8"/>
        <v>368.12188690301798</v>
      </c>
      <c r="I30" s="25"/>
      <c r="J30" s="1">
        <v>41061</v>
      </c>
      <c r="K30" s="17">
        <f>Elec!B27</f>
        <v>624</v>
      </c>
      <c r="L30" s="20">
        <f>-(Elec!C27)</f>
        <v>0</v>
      </c>
      <c r="N30" s="17">
        <f t="shared" si="4"/>
        <v>2084.16</v>
      </c>
      <c r="P30" s="25">
        <f>K30*E$3</f>
        <v>2.129712</v>
      </c>
      <c r="Q30" s="25">
        <f t="shared" si="5"/>
        <v>7.1132380799999995</v>
      </c>
      <c r="R30" s="17">
        <f>HDD!B40</f>
        <v>121</v>
      </c>
      <c r="S30" s="17">
        <f>CDD!B31</f>
        <v>128</v>
      </c>
      <c r="U30" s="47">
        <f>G30+K30</f>
        <v>975.59683562847943</v>
      </c>
      <c r="V30" s="36">
        <f>H30+N30</f>
        <v>2452.2818869030179</v>
      </c>
      <c r="W30" s="36"/>
      <c r="X30" s="36">
        <f>D30+P30</f>
        <v>3.3297120000000002</v>
      </c>
      <c r="Y30" s="48">
        <f>E30+Q30</f>
        <v>8.3696380799999996</v>
      </c>
    </row>
    <row r="31" spans="2:25">
      <c r="B31" s="1">
        <v>41101</v>
      </c>
      <c r="C31" s="3">
        <f>Gas!C27</f>
        <v>9</v>
      </c>
      <c r="D31" s="24">
        <f t="shared" si="9"/>
        <v>0.9</v>
      </c>
      <c r="E31" s="25">
        <f t="shared" si="6"/>
        <v>0.94229999999999992</v>
      </c>
      <c r="G31" s="25">
        <f t="shared" si="7"/>
        <v>263.69762672135954</v>
      </c>
      <c r="H31" s="25">
        <f t="shared" si="8"/>
        <v>276.0914151772634</v>
      </c>
      <c r="I31" s="25"/>
      <c r="J31" s="1">
        <v>41091</v>
      </c>
      <c r="K31" s="17">
        <f>Elec!B28</f>
        <v>824</v>
      </c>
      <c r="L31" s="20">
        <f>-(Elec!C28)</f>
        <v>0</v>
      </c>
      <c r="N31" s="17">
        <f t="shared" si="4"/>
        <v>2752.16</v>
      </c>
      <c r="P31" s="25">
        <f>K31*E$3</f>
        <v>2.8123119999999999</v>
      </c>
      <c r="Q31" s="25">
        <f t="shared" si="5"/>
        <v>9.3931220799999995</v>
      </c>
      <c r="R31" s="17">
        <f>HDD!B41</f>
        <v>22</v>
      </c>
      <c r="S31" s="17">
        <f>CDD!B32</f>
        <v>291</v>
      </c>
      <c r="U31" s="49">
        <f>G31+K31</f>
        <v>1087.6976267213595</v>
      </c>
      <c r="V31" s="50">
        <f>H31+N31</f>
        <v>3028.2514151772634</v>
      </c>
      <c r="W31" s="50"/>
      <c r="X31" s="50">
        <f>D31+P31</f>
        <v>3.7123119999999998</v>
      </c>
      <c r="Y31" s="51">
        <f>E31+Q31</f>
        <v>10.335422079999999</v>
      </c>
    </row>
    <row r="32" spans="2:25">
      <c r="B32" s="1">
        <v>41132</v>
      </c>
      <c r="C32" s="3">
        <f>Gas!C28</f>
        <v>0</v>
      </c>
      <c r="D32" s="4"/>
      <c r="O32" s="3" t="s">
        <v>77</v>
      </c>
      <c r="P32" s="128">
        <f>SUM(P26:P31)</f>
        <v>11.232182999999999</v>
      </c>
      <c r="Q32" s="128">
        <f>SUM(Q26:Q31)</f>
        <v>37.515491219999994</v>
      </c>
    </row>
    <row r="33" spans="1:25" s="17" customFormat="1">
      <c r="B33" s="1"/>
      <c r="C33" s="3" t="s">
        <v>77</v>
      </c>
      <c r="D33" s="128">
        <f>SUM(D26:D31)</f>
        <v>17.099999999999998</v>
      </c>
      <c r="E33" s="128">
        <f>SUM(E26:E31)</f>
        <v>17.903700000000001</v>
      </c>
      <c r="O33" s="17" t="s">
        <v>78</v>
      </c>
      <c r="P33" s="25">
        <f>SUM(P20:P31)</f>
        <v>24.460971000000001</v>
      </c>
      <c r="Q33" s="25">
        <f>SUM(Q20:Q31)</f>
        <v>81.699643139999978</v>
      </c>
    </row>
    <row r="34" spans="1:25" s="17" customFormat="1">
      <c r="B34" s="1"/>
      <c r="C34" s="3" t="s">
        <v>78</v>
      </c>
      <c r="D34" s="128">
        <f>SUM(D20:D31)</f>
        <v>41.7</v>
      </c>
      <c r="E34" s="128">
        <f>SUM(E20:E31)</f>
        <v>43.6599</v>
      </c>
    </row>
    <row r="35" spans="1:25" s="17" customFormat="1">
      <c r="B35" s="1"/>
      <c r="C35" s="60" t="s">
        <v>75</v>
      </c>
      <c r="D35" s="127"/>
    </row>
    <row r="36" spans="1:25">
      <c r="B36" s="17"/>
      <c r="C36" s="61">
        <f>MIN(C26:C31)</f>
        <v>9</v>
      </c>
      <c r="D36" s="62">
        <f t="shared" ref="D36" si="10">C36*E$2</f>
        <v>0.9</v>
      </c>
      <c r="E36" s="63">
        <f t="shared" ref="E36" si="11">D36*E$5</f>
        <v>0.94229999999999992</v>
      </c>
      <c r="F36" s="64"/>
      <c r="G36" s="64"/>
      <c r="H36" s="64"/>
      <c r="I36" s="64"/>
      <c r="J36" s="64"/>
      <c r="K36" s="64">
        <f>MIN(K26:K31)</f>
        <v>449</v>
      </c>
      <c r="L36" s="64"/>
      <c r="M36" s="64"/>
      <c r="N36" s="64"/>
      <c r="O36" s="64"/>
      <c r="P36" s="63">
        <f>K36*E$3</f>
        <v>1.5324369999999998</v>
      </c>
      <c r="Q36" s="63">
        <f>((K36-L36)*E$4+L36)*E$3</f>
        <v>5.1183395799999989</v>
      </c>
      <c r="R36" s="64"/>
      <c r="S36" s="64"/>
      <c r="T36" s="64"/>
      <c r="U36" s="64"/>
      <c r="V36" s="64"/>
      <c r="W36" s="64"/>
      <c r="X36" s="63">
        <f>D36+P36</f>
        <v>2.4324369999999997</v>
      </c>
      <c r="Y36" s="65">
        <f>E36+Q36</f>
        <v>6.0606395799999984</v>
      </c>
    </row>
    <row r="37" spans="1:25" s="17" customFormat="1">
      <c r="C37" s="60" t="s">
        <v>53</v>
      </c>
      <c r="D37" s="27"/>
      <c r="S37" s="28"/>
      <c r="T37" s="28"/>
      <c r="U37" s="28"/>
      <c r="V37" s="28"/>
      <c r="W37" s="28"/>
      <c r="X37" s="28"/>
      <c r="Y37" s="28"/>
    </row>
    <row r="38" spans="1:25" s="17" customFormat="1">
      <c r="C38" s="61">
        <f>SUM(C39:C40)/2</f>
        <v>10.5</v>
      </c>
      <c r="D38" s="62">
        <f t="shared" ref="D38" si="12">C38*E$2</f>
        <v>1.05</v>
      </c>
      <c r="E38" s="63">
        <f t="shared" ref="E38" si="13">D38*E$5</f>
        <v>1.09935</v>
      </c>
      <c r="F38" s="64"/>
      <c r="G38" s="63"/>
      <c r="H38" s="63"/>
      <c r="I38" s="64"/>
      <c r="J38" s="64"/>
      <c r="K38" s="64">
        <f>SUM(K39:K40)/2</f>
        <v>452</v>
      </c>
      <c r="L38" s="64"/>
      <c r="M38" s="64"/>
      <c r="N38" s="64"/>
      <c r="O38" s="64"/>
      <c r="P38" s="63">
        <f>K38*E$3</f>
        <v>1.5426759999999999</v>
      </c>
      <c r="Q38" s="63">
        <f>((K38-L38)*E$4+L38)*E$3</f>
        <v>5.152537839999999</v>
      </c>
      <c r="R38" s="64"/>
      <c r="S38" s="64"/>
      <c r="T38" s="64"/>
      <c r="U38" s="63"/>
      <c r="V38" s="63"/>
      <c r="W38" s="63"/>
      <c r="X38" s="63">
        <f>D38+P38</f>
        <v>2.592676</v>
      </c>
      <c r="Y38" s="65">
        <f>E38+Q38</f>
        <v>6.2518878399999993</v>
      </c>
    </row>
    <row r="39" spans="1:25" s="17" customFormat="1">
      <c r="C39" s="27">
        <f>MIN(C20:C31)</f>
        <v>9</v>
      </c>
      <c r="D39" s="27"/>
      <c r="K39" s="17">
        <f>MIN(K19:K31)</f>
        <v>449</v>
      </c>
      <c r="S39" s="28"/>
      <c r="T39" s="28"/>
      <c r="U39" s="28"/>
      <c r="V39" s="28"/>
      <c r="W39" s="28"/>
      <c r="X39" s="28"/>
      <c r="Y39" s="28"/>
    </row>
    <row r="40" spans="1:25">
      <c r="C40">
        <f>MIN(C20:C30)</f>
        <v>12</v>
      </c>
      <c r="K40" s="17">
        <f>MIN(K29:K31,K20:K27)</f>
        <v>455</v>
      </c>
      <c r="S40" s="30"/>
      <c r="T40" s="31"/>
      <c r="U40" s="31" t="s">
        <v>20</v>
      </c>
      <c r="V40" s="31" t="s">
        <v>23</v>
      </c>
      <c r="W40" s="31"/>
      <c r="X40" s="31" t="s">
        <v>21</v>
      </c>
      <c r="Y40" s="32" t="s">
        <v>22</v>
      </c>
    </row>
    <row r="41" spans="1:25">
      <c r="K41" s="17"/>
      <c r="S41" s="33"/>
      <c r="T41" s="28"/>
      <c r="U41" s="28"/>
      <c r="V41" s="28"/>
      <c r="W41" s="28"/>
      <c r="X41" s="28"/>
      <c r="Y41" s="34"/>
    </row>
    <row r="42" spans="1:25">
      <c r="S42" s="33" t="s">
        <v>45</v>
      </c>
      <c r="T42" s="28"/>
      <c r="U42" s="36">
        <f>SUM(U20:U31)</f>
        <v>19384.990038089658</v>
      </c>
      <c r="V42" s="36">
        <f>SUM(V20:V31)</f>
        <v>36730.01556987987</v>
      </c>
      <c r="W42" s="28"/>
      <c r="X42" s="36">
        <f>SUM(X20:X31)</f>
        <v>66.160971000000004</v>
      </c>
      <c r="Y42" s="48">
        <f>SUM(Y20:Y31)</f>
        <v>125.35954313999999</v>
      </c>
    </row>
    <row r="43" spans="1:25">
      <c r="C43">
        <f>SUM(C26:C31)</f>
        <v>171</v>
      </c>
      <c r="K43" s="17">
        <f>SUM(K26:K31)</f>
        <v>3291</v>
      </c>
      <c r="S43" s="33"/>
      <c r="T43" s="28"/>
      <c r="U43" s="28"/>
      <c r="V43" s="28"/>
      <c r="W43" s="28"/>
      <c r="X43" s="28"/>
      <c r="Y43" s="34"/>
    </row>
    <row r="44" spans="1:25">
      <c r="C44">
        <f>SUM(C20:C31)</f>
        <v>417</v>
      </c>
      <c r="K44" s="17">
        <f>SUM(K20:K31)</f>
        <v>7167</v>
      </c>
      <c r="S44" s="40" t="s">
        <v>46</v>
      </c>
      <c r="T44" s="42"/>
      <c r="U44" s="50">
        <f>SUM(U26:U31)</f>
        <v>8301.254907705832</v>
      </c>
      <c r="V44" s="50">
        <f>SUM(V26:V31)</f>
        <v>16237.676888368003</v>
      </c>
      <c r="W44" s="42"/>
      <c r="X44" s="50">
        <f>SUM(X26:X31)</f>
        <v>28.332183000000001</v>
      </c>
      <c r="Y44" s="51">
        <f>SUM(Y26:Y31)</f>
        <v>55.419191220000002</v>
      </c>
    </row>
    <row r="46" spans="1:25">
      <c r="A46" s="17" t="s">
        <v>76</v>
      </c>
      <c r="E46" s="25">
        <f>SUM(E20:E31)</f>
        <v>43.6599</v>
      </c>
      <c r="Q46" s="25">
        <f>SUM(Q20:Q31)</f>
        <v>81.699643139999978</v>
      </c>
    </row>
  </sheetData>
  <mergeCells count="1">
    <mergeCell ref="K6:L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1"/>
  <sheetViews>
    <sheetView topLeftCell="A11" workbookViewId="0">
      <selection activeCell="C17" sqref="C17"/>
    </sheetView>
  </sheetViews>
  <sheetFormatPr defaultRowHeight="15"/>
  <cols>
    <col min="1" max="1" width="13.140625" bestFit="1" customWidth="1"/>
  </cols>
  <sheetData>
    <row r="1" spans="1:3">
      <c r="A1" s="7" t="s">
        <v>7</v>
      </c>
      <c r="B1" s="7" t="s">
        <v>8</v>
      </c>
      <c r="C1" s="7"/>
    </row>
    <row r="2" spans="1:3">
      <c r="A2" s="7" t="s">
        <v>9</v>
      </c>
      <c r="B2" s="7" t="s">
        <v>10</v>
      </c>
      <c r="C2" s="7"/>
    </row>
    <row r="3" spans="1:3">
      <c r="A3" s="7" t="s">
        <v>11</v>
      </c>
      <c r="B3" s="7" t="s">
        <v>12</v>
      </c>
      <c r="C3" s="7"/>
    </row>
    <row r="4" spans="1:3">
      <c r="A4" s="7" t="s">
        <v>13</v>
      </c>
      <c r="B4" s="7" t="s">
        <v>14</v>
      </c>
      <c r="C4" s="7"/>
    </row>
    <row r="5" spans="1:3">
      <c r="A5" s="7" t="s">
        <v>15</v>
      </c>
      <c r="B5" s="7" t="s">
        <v>16</v>
      </c>
      <c r="C5" s="7"/>
    </row>
    <row r="7" spans="1:3">
      <c r="A7" s="7" t="s">
        <v>17</v>
      </c>
      <c r="B7" s="7" t="s">
        <v>1</v>
      </c>
      <c r="C7" s="7" t="s">
        <v>18</v>
      </c>
    </row>
    <row r="8" spans="1:3" s="15" customFormat="1">
      <c r="A8" s="18">
        <v>40087</v>
      </c>
      <c r="B8" s="17">
        <v>500</v>
      </c>
      <c r="C8" s="17">
        <v>0.06</v>
      </c>
    </row>
    <row r="9" spans="1:3" s="9" customFormat="1">
      <c r="A9" s="18">
        <v>40118</v>
      </c>
      <c r="B9" s="17">
        <v>592</v>
      </c>
      <c r="C9" s="17">
        <v>0.03</v>
      </c>
    </row>
    <row r="10" spans="1:3">
      <c r="A10" s="18">
        <v>40148</v>
      </c>
      <c r="B10" s="17">
        <v>1086</v>
      </c>
      <c r="C10" s="17">
        <v>0.2</v>
      </c>
    </row>
    <row r="11" spans="1:3">
      <c r="A11" s="18">
        <v>40179</v>
      </c>
      <c r="B11" s="17">
        <v>1191</v>
      </c>
      <c r="C11" s="17">
        <v>0.1</v>
      </c>
    </row>
    <row r="12" spans="1:3">
      <c r="A12" s="18">
        <v>40210</v>
      </c>
      <c r="B12" s="17">
        <v>964</v>
      </c>
      <c r="C12" s="17">
        <v>0.1</v>
      </c>
    </row>
    <row r="13" spans="1:3">
      <c r="A13" s="18">
        <v>40238</v>
      </c>
      <c r="B13" s="17">
        <v>706</v>
      </c>
      <c r="C13" s="17">
        <v>0.1</v>
      </c>
    </row>
    <row r="14" spans="1:3">
      <c r="A14" s="18">
        <v>40269</v>
      </c>
      <c r="B14" s="17">
        <v>427</v>
      </c>
      <c r="C14" s="17">
        <v>0.3</v>
      </c>
    </row>
    <row r="15" spans="1:3">
      <c r="A15" s="18">
        <v>40299</v>
      </c>
      <c r="B15" s="17">
        <v>209</v>
      </c>
      <c r="C15" s="17">
        <v>0.5</v>
      </c>
    </row>
    <row r="16" spans="1:3">
      <c r="A16" s="18">
        <v>40330</v>
      </c>
      <c r="B16" s="17">
        <v>65</v>
      </c>
      <c r="C16" s="17">
        <v>0.2</v>
      </c>
    </row>
    <row r="17" spans="1:3">
      <c r="A17" s="18">
        <v>40360</v>
      </c>
      <c r="B17" s="17">
        <v>22</v>
      </c>
      <c r="C17" s="15"/>
    </row>
    <row r="18" spans="1:3">
      <c r="A18" s="12">
        <v>40391</v>
      </c>
      <c r="B18" s="11">
        <v>44</v>
      </c>
      <c r="C18" s="9"/>
    </row>
    <row r="19" spans="1:3">
      <c r="A19" s="8">
        <v>40422</v>
      </c>
      <c r="B19" s="7">
        <v>112</v>
      </c>
      <c r="C19" s="7"/>
    </row>
    <row r="20" spans="1:3">
      <c r="A20" s="8">
        <v>40452</v>
      </c>
      <c r="B20" s="7">
        <v>442</v>
      </c>
      <c r="C20" s="7"/>
    </row>
    <row r="21" spans="1:3">
      <c r="A21" s="8">
        <v>40483</v>
      </c>
      <c r="B21" s="7">
        <v>710</v>
      </c>
      <c r="C21" s="7"/>
    </row>
    <row r="22" spans="1:3">
      <c r="A22" s="8">
        <v>40513</v>
      </c>
      <c r="B22" s="7">
        <v>1110</v>
      </c>
      <c r="C22" s="7"/>
    </row>
    <row r="23" spans="1:3">
      <c r="A23" s="8">
        <v>40544</v>
      </c>
      <c r="B23" s="7">
        <v>1298</v>
      </c>
      <c r="C23" s="7"/>
    </row>
    <row r="24" spans="1:3">
      <c r="A24" s="8">
        <v>40575</v>
      </c>
      <c r="B24" s="7">
        <v>1070</v>
      </c>
      <c r="C24" s="7"/>
    </row>
    <row r="25" spans="1:3">
      <c r="A25" s="8">
        <v>40603</v>
      </c>
      <c r="B25" s="7">
        <v>885</v>
      </c>
      <c r="C25" s="7"/>
    </row>
    <row r="26" spans="1:3">
      <c r="A26" s="8">
        <v>40634</v>
      </c>
      <c r="B26" s="7">
        <v>502</v>
      </c>
      <c r="C26" s="7"/>
    </row>
    <row r="27" spans="1:3">
      <c r="A27" s="8">
        <v>40664</v>
      </c>
      <c r="B27" s="7">
        <v>268</v>
      </c>
      <c r="C27" s="7"/>
    </row>
    <row r="28" spans="1:3">
      <c r="A28" s="8">
        <v>40695</v>
      </c>
      <c r="B28" s="7">
        <v>113</v>
      </c>
      <c r="C28" s="7"/>
    </row>
    <row r="29" spans="1:3">
      <c r="A29" s="8">
        <v>40725</v>
      </c>
      <c r="B29" s="7">
        <v>20</v>
      </c>
      <c r="C29" s="7"/>
    </row>
    <row r="30" spans="1:3">
      <c r="A30" s="8">
        <v>40756</v>
      </c>
      <c r="B30" s="7">
        <v>31</v>
      </c>
      <c r="C30" s="7"/>
    </row>
    <row r="31" spans="1:3">
      <c r="A31" s="18">
        <v>40787</v>
      </c>
      <c r="B31">
        <v>108</v>
      </c>
      <c r="C31">
        <v>0</v>
      </c>
    </row>
    <row r="32" spans="1:3">
      <c r="A32" s="18">
        <v>40817</v>
      </c>
      <c r="B32">
        <v>418</v>
      </c>
      <c r="C32">
        <v>0</v>
      </c>
    </row>
    <row r="33" spans="1:3">
      <c r="A33" s="18">
        <v>40848</v>
      </c>
      <c r="B33">
        <v>563</v>
      </c>
      <c r="C33">
        <v>0.1</v>
      </c>
    </row>
    <row r="34" spans="1:3">
      <c r="A34" s="18">
        <v>40878</v>
      </c>
      <c r="B34">
        <v>882</v>
      </c>
      <c r="C34">
        <v>0</v>
      </c>
    </row>
    <row r="35" spans="1:3">
      <c r="A35" s="18">
        <v>40909</v>
      </c>
      <c r="B35">
        <v>1053</v>
      </c>
      <c r="C35">
        <v>0</v>
      </c>
    </row>
    <row r="36" spans="1:3">
      <c r="A36" s="18">
        <v>40940</v>
      </c>
      <c r="B36">
        <v>895</v>
      </c>
      <c r="C36">
        <v>0.03</v>
      </c>
    </row>
    <row r="37" spans="1:3">
      <c r="A37" s="18">
        <v>40969</v>
      </c>
      <c r="B37">
        <v>652</v>
      </c>
      <c r="C37">
        <v>0</v>
      </c>
    </row>
    <row r="38" spans="1:3">
      <c r="A38" s="18">
        <v>41000</v>
      </c>
      <c r="B38">
        <v>463</v>
      </c>
      <c r="C38">
        <v>0.03</v>
      </c>
    </row>
    <row r="39" spans="1:3">
      <c r="A39" s="18">
        <v>41030</v>
      </c>
      <c r="B39">
        <v>208</v>
      </c>
      <c r="C39">
        <v>0.06</v>
      </c>
    </row>
    <row r="40" spans="1:3">
      <c r="A40" s="18">
        <v>41061</v>
      </c>
      <c r="B40">
        <v>121</v>
      </c>
      <c r="C40">
        <v>7.0000000000000007E-2</v>
      </c>
    </row>
    <row r="41" spans="1:3">
      <c r="A41" s="18">
        <v>41091</v>
      </c>
      <c r="B41">
        <v>22</v>
      </c>
      <c r="C41">
        <v>0.1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2"/>
  <sheetViews>
    <sheetView topLeftCell="A3" workbookViewId="0">
      <selection activeCell="A22" sqref="A22:C32"/>
    </sheetView>
  </sheetViews>
  <sheetFormatPr defaultRowHeight="15"/>
  <cols>
    <col min="1" max="1" width="13.140625" bestFit="1" customWidth="1"/>
  </cols>
  <sheetData>
    <row r="1" spans="1:3">
      <c r="A1" s="9" t="s">
        <v>7</v>
      </c>
      <c r="B1" s="9" t="s">
        <v>19</v>
      </c>
      <c r="C1" s="9"/>
    </row>
    <row r="2" spans="1:3">
      <c r="A2" s="9" t="s">
        <v>9</v>
      </c>
      <c r="B2" s="9" t="s">
        <v>10</v>
      </c>
      <c r="C2" s="9"/>
    </row>
    <row r="3" spans="1:3">
      <c r="A3" s="9" t="s">
        <v>11</v>
      </c>
      <c r="B3" s="9" t="s">
        <v>12</v>
      </c>
      <c r="C3" s="9"/>
    </row>
    <row r="4" spans="1:3">
      <c r="A4" s="9" t="s">
        <v>13</v>
      </c>
      <c r="B4" s="9" t="s">
        <v>14</v>
      </c>
      <c r="C4" s="9"/>
    </row>
    <row r="5" spans="1:3">
      <c r="A5" s="9" t="s">
        <v>15</v>
      </c>
      <c r="B5" s="9" t="s">
        <v>16</v>
      </c>
      <c r="C5" s="9"/>
    </row>
    <row r="7" spans="1:3">
      <c r="A7" s="9" t="s">
        <v>17</v>
      </c>
      <c r="B7" s="9" t="s">
        <v>6</v>
      </c>
      <c r="C7" s="9" t="s">
        <v>18</v>
      </c>
    </row>
    <row r="8" spans="1:3" s="13" customFormat="1">
      <c r="A8" s="16">
        <v>40360</v>
      </c>
      <c r="B8" s="15">
        <v>360</v>
      </c>
    </row>
    <row r="9" spans="1:3" s="11" customFormat="1">
      <c r="A9" s="14">
        <v>40391</v>
      </c>
      <c r="B9" s="13">
        <v>263</v>
      </c>
    </row>
    <row r="10" spans="1:3">
      <c r="A10" s="10">
        <v>40422</v>
      </c>
      <c r="B10" s="9">
        <v>128</v>
      </c>
      <c r="C10" s="9">
        <v>0</v>
      </c>
    </row>
    <row r="11" spans="1:3">
      <c r="A11" s="10">
        <v>40452</v>
      </c>
      <c r="B11" s="9">
        <v>14</v>
      </c>
      <c r="C11" s="9">
        <v>0.3</v>
      </c>
    </row>
    <row r="12" spans="1:3">
      <c r="A12" s="10">
        <v>40483</v>
      </c>
      <c r="B12" s="9">
        <v>0</v>
      </c>
      <c r="C12" s="9">
        <v>0</v>
      </c>
    </row>
    <row r="13" spans="1:3">
      <c r="A13" s="10">
        <v>40513</v>
      </c>
      <c r="B13" s="9">
        <v>0</v>
      </c>
      <c r="C13" s="9">
        <v>0.7</v>
      </c>
    </row>
    <row r="14" spans="1:3">
      <c r="A14" s="10">
        <v>40544</v>
      </c>
      <c r="B14" s="9">
        <v>0</v>
      </c>
      <c r="C14" s="9">
        <v>0</v>
      </c>
    </row>
    <row r="15" spans="1:3">
      <c r="A15" s="10">
        <v>40575</v>
      </c>
      <c r="B15" s="9">
        <v>0</v>
      </c>
      <c r="C15" s="9">
        <v>0</v>
      </c>
    </row>
    <row r="16" spans="1:3">
      <c r="A16" s="10">
        <v>40603</v>
      </c>
      <c r="B16" s="9">
        <v>0</v>
      </c>
      <c r="C16" s="9">
        <v>0</v>
      </c>
    </row>
    <row r="17" spans="1:3">
      <c r="A17" s="10">
        <v>40634</v>
      </c>
      <c r="B17" s="9">
        <v>12</v>
      </c>
      <c r="C17" s="9">
        <v>0</v>
      </c>
    </row>
    <row r="18" spans="1:3">
      <c r="A18" s="10">
        <v>40664</v>
      </c>
      <c r="B18" s="9">
        <v>63</v>
      </c>
      <c r="C18" s="9">
        <v>0</v>
      </c>
    </row>
    <row r="19" spans="1:3">
      <c r="A19" s="10">
        <v>40695</v>
      </c>
      <c r="B19" s="9">
        <v>122</v>
      </c>
      <c r="C19" s="9">
        <v>0</v>
      </c>
    </row>
    <row r="20" spans="1:3">
      <c r="A20" s="10">
        <v>40725</v>
      </c>
      <c r="B20" s="9">
        <v>309</v>
      </c>
      <c r="C20" s="9">
        <v>0</v>
      </c>
    </row>
    <row r="21" spans="1:3">
      <c r="A21" s="10">
        <v>40756</v>
      </c>
      <c r="B21" s="9">
        <v>202</v>
      </c>
      <c r="C21" s="9">
        <v>0.5</v>
      </c>
    </row>
    <row r="22" spans="1:3">
      <c r="A22" s="18">
        <v>40787</v>
      </c>
      <c r="B22">
        <v>105</v>
      </c>
      <c r="C22">
        <v>0</v>
      </c>
    </row>
    <row r="23" spans="1:3">
      <c r="A23" s="18">
        <v>40817</v>
      </c>
      <c r="B23">
        <v>15</v>
      </c>
      <c r="C23">
        <v>0</v>
      </c>
    </row>
    <row r="24" spans="1:3">
      <c r="A24" s="18">
        <v>40848</v>
      </c>
      <c r="B24">
        <v>2</v>
      </c>
      <c r="C24">
        <v>0.1</v>
      </c>
    </row>
    <row r="25" spans="1:3">
      <c r="A25" s="18">
        <v>40878</v>
      </c>
      <c r="B25">
        <v>0</v>
      </c>
      <c r="C25">
        <v>0</v>
      </c>
    </row>
    <row r="26" spans="1:3">
      <c r="A26" s="18">
        <v>40909</v>
      </c>
      <c r="B26">
        <v>0</v>
      </c>
      <c r="C26">
        <v>0</v>
      </c>
    </row>
    <row r="27" spans="1:3">
      <c r="A27" s="18">
        <v>40940</v>
      </c>
      <c r="B27">
        <v>0</v>
      </c>
      <c r="C27">
        <v>0.03</v>
      </c>
    </row>
    <row r="28" spans="1:3">
      <c r="A28" s="18">
        <v>40969</v>
      </c>
      <c r="B28">
        <v>23</v>
      </c>
      <c r="C28">
        <v>0</v>
      </c>
    </row>
    <row r="29" spans="1:3">
      <c r="A29" s="18">
        <v>41000</v>
      </c>
      <c r="B29">
        <v>26</v>
      </c>
      <c r="C29">
        <v>0.03</v>
      </c>
    </row>
    <row r="30" spans="1:3">
      <c r="A30" s="18">
        <v>41030</v>
      </c>
      <c r="B30">
        <v>60</v>
      </c>
      <c r="C30">
        <v>0.06</v>
      </c>
    </row>
    <row r="31" spans="1:3">
      <c r="A31" s="18">
        <v>41061</v>
      </c>
      <c r="B31">
        <v>128</v>
      </c>
      <c r="C31">
        <v>7.0000000000000007E-2</v>
      </c>
    </row>
    <row r="32" spans="1:3">
      <c r="A32" s="18">
        <v>41091</v>
      </c>
      <c r="B32">
        <v>291</v>
      </c>
      <c r="C32">
        <v>0.1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4"/>
  <sheetViews>
    <sheetView tabSelected="1" topLeftCell="A2" workbookViewId="0">
      <selection activeCell="N21" sqref="N21"/>
    </sheetView>
  </sheetViews>
  <sheetFormatPr defaultRowHeight="15"/>
  <cols>
    <col min="4" max="5" width="9.140625" style="17"/>
    <col min="14" max="14" width="13.28515625" bestFit="1" customWidth="1"/>
    <col min="15" max="15" width="10.140625" bestFit="1" customWidth="1"/>
  </cols>
  <sheetData>
    <row r="1" spans="1:16" ht="20.25">
      <c r="A1" s="66" t="s">
        <v>54</v>
      </c>
      <c r="B1" s="67"/>
      <c r="C1" s="68"/>
      <c r="D1" s="68"/>
      <c r="E1" s="68"/>
      <c r="F1" s="69"/>
      <c r="G1" s="69"/>
      <c r="H1" s="69"/>
      <c r="I1" s="69"/>
      <c r="J1" s="70"/>
      <c r="K1" s="71"/>
      <c r="L1" s="72"/>
      <c r="M1" s="73"/>
      <c r="N1" s="73"/>
      <c r="O1" s="73"/>
      <c r="P1" s="73"/>
    </row>
    <row r="2" spans="1:16" ht="20.25">
      <c r="A2" s="66"/>
      <c r="B2" s="74"/>
      <c r="C2" s="68"/>
      <c r="D2" s="68"/>
      <c r="E2" s="68"/>
      <c r="F2" s="69"/>
      <c r="G2" s="69"/>
      <c r="H2" s="75"/>
      <c r="I2" s="75"/>
      <c r="J2" s="70"/>
      <c r="K2" s="71"/>
      <c r="L2" s="72"/>
      <c r="M2" s="73"/>
      <c r="N2" s="73"/>
      <c r="O2" s="73"/>
      <c r="P2" s="73"/>
    </row>
    <row r="3" spans="1:16" ht="20.25">
      <c r="A3" s="66"/>
      <c r="B3" s="74"/>
      <c r="C3" s="68"/>
      <c r="D3" s="68"/>
      <c r="E3" s="68"/>
      <c r="F3" s="69"/>
      <c r="G3" s="69"/>
      <c r="H3" s="75"/>
      <c r="I3" s="75"/>
      <c r="J3" s="70"/>
      <c r="K3" s="71"/>
      <c r="L3" s="72"/>
      <c r="M3" s="73"/>
      <c r="N3" s="73"/>
      <c r="O3" s="73"/>
      <c r="P3" s="73"/>
    </row>
    <row r="4" spans="1:16">
      <c r="A4" s="76"/>
      <c r="B4" s="77"/>
      <c r="C4" s="78" t="s">
        <v>64</v>
      </c>
      <c r="D4" s="78"/>
      <c r="E4" s="78"/>
      <c r="F4" s="79" t="str">
        <f>HDD!B4</f>
        <v>BEDFORD HANSCOM FIELD, MA, US (71.29W,42.47N)</v>
      </c>
      <c r="G4" s="79"/>
      <c r="H4" s="69"/>
      <c r="I4" s="69"/>
      <c r="J4" s="130" t="s">
        <v>60</v>
      </c>
      <c r="K4" s="130"/>
      <c r="L4" s="130"/>
      <c r="M4" s="73"/>
      <c r="N4" s="73"/>
      <c r="O4" s="73"/>
      <c r="P4" s="73"/>
    </row>
    <row r="5" spans="1:16" ht="26.25">
      <c r="A5" s="80" t="s">
        <v>55</v>
      </c>
      <c r="B5" s="81" t="s">
        <v>56</v>
      </c>
      <c r="C5" s="82" t="s">
        <v>71</v>
      </c>
      <c r="D5" s="82"/>
      <c r="E5" s="82"/>
      <c r="F5" s="83" t="s">
        <v>57</v>
      </c>
      <c r="G5" s="84" t="s">
        <v>58</v>
      </c>
      <c r="H5" s="85" t="s">
        <v>59</v>
      </c>
      <c r="I5" s="85"/>
      <c r="J5" s="86"/>
      <c r="K5" s="86" t="s">
        <v>62</v>
      </c>
      <c r="L5" s="86" t="s">
        <v>63</v>
      </c>
      <c r="M5" s="87"/>
      <c r="N5" s="87"/>
      <c r="O5" s="87"/>
      <c r="P5" s="87"/>
    </row>
    <row r="6" spans="1:16">
      <c r="A6" s="107"/>
      <c r="B6" s="108"/>
      <c r="C6" s="109"/>
      <c r="D6" s="109" t="s">
        <v>65</v>
      </c>
      <c r="E6" s="109" t="s">
        <v>66</v>
      </c>
      <c r="F6" s="110"/>
      <c r="G6" s="111"/>
      <c r="H6" s="112"/>
      <c r="I6" s="112"/>
      <c r="J6" s="113"/>
      <c r="K6" s="113"/>
      <c r="L6" s="113"/>
      <c r="M6" s="113" t="s">
        <v>67</v>
      </c>
      <c r="N6" s="113" t="s">
        <v>67</v>
      </c>
      <c r="O6" s="113" t="s">
        <v>69</v>
      </c>
      <c r="P6" s="113"/>
    </row>
    <row r="7" spans="1:16">
      <c r="A7" s="114"/>
      <c r="B7" s="97"/>
      <c r="C7" s="115"/>
      <c r="D7" s="115"/>
      <c r="E7" s="115"/>
      <c r="F7" s="99"/>
      <c r="G7" s="99"/>
      <c r="H7" s="98"/>
      <c r="I7" s="98"/>
      <c r="J7" s="116"/>
      <c r="K7" s="90"/>
      <c r="L7" s="90"/>
      <c r="M7" s="90" t="s">
        <v>66</v>
      </c>
      <c r="N7" s="117" t="s">
        <v>68</v>
      </c>
      <c r="O7" s="90" t="s">
        <v>70</v>
      </c>
      <c r="P7" s="28"/>
    </row>
    <row r="8" spans="1:16">
      <c r="A8" s="91">
        <f>'Energy Use'!B19</f>
        <v>40735</v>
      </c>
      <c r="B8" s="92"/>
      <c r="C8" s="93"/>
      <c r="D8" s="122">
        <f>'Energy Use'!P19</f>
        <v>2.471012</v>
      </c>
      <c r="E8" s="122">
        <f>'Energy Use'!D19</f>
        <v>1.2000000000000002</v>
      </c>
      <c r="F8" s="94">
        <f>CDD!B20</f>
        <v>309</v>
      </c>
      <c r="G8" s="94">
        <f>HDD!B29</f>
        <v>20</v>
      </c>
      <c r="H8" s="95"/>
      <c r="I8" s="95"/>
      <c r="J8" s="94"/>
      <c r="K8" s="96">
        <v>284</v>
      </c>
      <c r="L8" s="96">
        <v>3</v>
      </c>
      <c r="M8" s="90"/>
      <c r="N8" s="117" t="s">
        <v>71</v>
      </c>
      <c r="O8" s="97" t="s">
        <v>71</v>
      </c>
      <c r="P8" s="28"/>
    </row>
    <row r="9" spans="1:16">
      <c r="A9" s="91">
        <f>'Energy Use'!B20</f>
        <v>40766</v>
      </c>
      <c r="B9" s="97"/>
      <c r="C9" s="93"/>
      <c r="D9" s="122">
        <f>'Energy Use'!P20</f>
        <v>2.9590709999999998</v>
      </c>
      <c r="E9" s="122">
        <f>'Energy Use'!D20</f>
        <v>1.5</v>
      </c>
      <c r="F9" s="94">
        <f>CDD!B21</f>
        <v>202</v>
      </c>
      <c r="G9" s="94">
        <f>HDD!B30</f>
        <v>31</v>
      </c>
      <c r="H9" s="98"/>
      <c r="I9" s="98"/>
      <c r="J9" s="99"/>
      <c r="K9" s="90">
        <v>193</v>
      </c>
      <c r="L9" s="90">
        <v>5</v>
      </c>
      <c r="M9" s="123">
        <f>0.0064*L9+0.6015</f>
        <v>0.63350000000000006</v>
      </c>
      <c r="N9" s="123">
        <f>M9+D9</f>
        <v>3.592571</v>
      </c>
      <c r="O9" s="106">
        <f>D9*'Energy Use'!$E$4+M9*'Energy Use'!$E$5</f>
        <v>10.546571639999998</v>
      </c>
      <c r="P9" s="56"/>
    </row>
    <row r="10" spans="1:16">
      <c r="A10" s="91">
        <f>'Energy Use'!B21</f>
        <v>40797</v>
      </c>
      <c r="B10" s="97"/>
      <c r="C10" s="93"/>
      <c r="D10" s="122">
        <f>'Energy Use'!P21</f>
        <v>2.6177709999999998</v>
      </c>
      <c r="E10" s="122">
        <f>'Energy Use'!D21</f>
        <v>1.6</v>
      </c>
      <c r="F10" s="94">
        <f>CDD!B22</f>
        <v>105</v>
      </c>
      <c r="G10" s="94">
        <f>HDD!B31</f>
        <v>108</v>
      </c>
      <c r="H10" s="98"/>
      <c r="I10" s="98"/>
      <c r="J10" s="99"/>
      <c r="K10" s="90">
        <v>53</v>
      </c>
      <c r="L10" s="90">
        <v>66</v>
      </c>
      <c r="M10" s="123">
        <f t="shared" ref="M10:M20" si="0">0.0064*L10+0.6015</f>
        <v>1.0239</v>
      </c>
      <c r="N10" s="123">
        <f t="shared" ref="N10:N20" si="1">M10+D10</f>
        <v>3.6416709999999997</v>
      </c>
      <c r="O10" s="106">
        <f>D10*'Energy Use'!$E$4+M10*'Energy Use'!$E$5</f>
        <v>9.8153784399999982</v>
      </c>
      <c r="P10" s="56"/>
    </row>
    <row r="11" spans="1:16">
      <c r="A11" s="91">
        <f>'Energy Use'!B22</f>
        <v>40827</v>
      </c>
      <c r="B11" s="97"/>
      <c r="C11" s="93"/>
      <c r="D11" s="122">
        <f>'Energy Use'!P22</f>
        <v>2.4061649999999997</v>
      </c>
      <c r="E11" s="122">
        <f>'Energy Use'!D22</f>
        <v>3</v>
      </c>
      <c r="F11" s="94">
        <f>CDD!B23</f>
        <v>15</v>
      </c>
      <c r="G11" s="94">
        <f>HDD!B32</f>
        <v>418</v>
      </c>
      <c r="H11" s="98"/>
      <c r="I11" s="98"/>
      <c r="J11" s="99"/>
      <c r="K11" s="90">
        <v>9</v>
      </c>
      <c r="L11" s="90">
        <v>348</v>
      </c>
      <c r="M11" s="123">
        <f t="shared" si="0"/>
        <v>2.8287000000000004</v>
      </c>
      <c r="N11" s="123">
        <f t="shared" si="1"/>
        <v>5.2348650000000001</v>
      </c>
      <c r="O11" s="106">
        <f>D11*'Energy Use'!$E$4+M11*'Energy Use'!$E$5</f>
        <v>10.998239999999999</v>
      </c>
      <c r="P11" s="56"/>
    </row>
    <row r="12" spans="1:16">
      <c r="A12" s="91">
        <f>'Energy Use'!B23</f>
        <v>40858</v>
      </c>
      <c r="B12" s="97"/>
      <c r="C12" s="93"/>
      <c r="D12" s="122">
        <f>'Energy Use'!P23</f>
        <v>1.7167389999999998</v>
      </c>
      <c r="E12" s="122">
        <f>'Energy Use'!D23</f>
        <v>4.5</v>
      </c>
      <c r="F12" s="94">
        <f>CDD!B24</f>
        <v>2</v>
      </c>
      <c r="G12" s="94">
        <f>HDD!B33</f>
        <v>563</v>
      </c>
      <c r="H12" s="98"/>
      <c r="I12" s="98"/>
      <c r="J12" s="99"/>
      <c r="K12" s="90">
        <v>0</v>
      </c>
      <c r="L12" s="90">
        <v>652</v>
      </c>
      <c r="M12" s="123">
        <f t="shared" si="0"/>
        <v>4.7743000000000002</v>
      </c>
      <c r="N12" s="123">
        <f t="shared" si="1"/>
        <v>6.4910389999999998</v>
      </c>
      <c r="O12" s="106">
        <f>D12*'Energy Use'!$E$4+M12*'Energy Use'!$E$5</f>
        <v>10.732600359999999</v>
      </c>
      <c r="P12" s="56"/>
    </row>
    <row r="13" spans="1:16">
      <c r="A13" s="91">
        <f>'Energy Use'!B24</f>
        <v>40888</v>
      </c>
      <c r="B13" s="97"/>
      <c r="C13" s="93"/>
      <c r="D13" s="122">
        <f>'Energy Use'!P24</f>
        <v>1.5870449999999998</v>
      </c>
      <c r="E13" s="122">
        <f>'Energy Use'!D24</f>
        <v>6.8000000000000007</v>
      </c>
      <c r="F13" s="94">
        <f>CDD!B25</f>
        <v>0</v>
      </c>
      <c r="G13" s="94">
        <f>HDD!B34</f>
        <v>882</v>
      </c>
      <c r="H13" s="98"/>
      <c r="I13" s="98"/>
      <c r="J13" s="99"/>
      <c r="K13" s="90">
        <v>0</v>
      </c>
      <c r="L13" s="90">
        <v>902</v>
      </c>
      <c r="M13" s="123">
        <f t="shared" si="0"/>
        <v>6.3742999999999999</v>
      </c>
      <c r="N13" s="123">
        <f t="shared" si="1"/>
        <v>7.9613449999999997</v>
      </c>
      <c r="O13" s="106">
        <f>D13*'Energy Use'!$E$4+M13*'Energy Use'!$E$5</f>
        <v>11.974622399999998</v>
      </c>
      <c r="P13" s="56"/>
    </row>
    <row r="14" spans="1:16">
      <c r="A14" s="91">
        <f>'Energy Use'!B25</f>
        <v>40920</v>
      </c>
      <c r="B14" s="97"/>
      <c r="C14" s="93"/>
      <c r="D14" s="122">
        <f>'Energy Use'!P25</f>
        <v>1.941997</v>
      </c>
      <c r="E14" s="122">
        <f>'Energy Use'!D25</f>
        <v>7.2</v>
      </c>
      <c r="F14" s="94">
        <f>CDD!B26</f>
        <v>0</v>
      </c>
      <c r="G14" s="94">
        <f>HDD!B35</f>
        <v>1053</v>
      </c>
      <c r="H14" s="98"/>
      <c r="I14" s="98"/>
      <c r="J14" s="99"/>
      <c r="K14" s="90">
        <v>0</v>
      </c>
      <c r="L14" s="90">
        <v>1189</v>
      </c>
      <c r="M14" s="123">
        <f t="shared" si="0"/>
        <v>8.2111000000000001</v>
      </c>
      <c r="N14" s="123">
        <f t="shared" si="1"/>
        <v>10.153097000000001</v>
      </c>
      <c r="O14" s="106">
        <f>D14*'Energy Use'!$E$4+M14*'Energy Use'!$E$5</f>
        <v>15.083291679999999</v>
      </c>
      <c r="P14" s="56"/>
    </row>
    <row r="15" spans="1:16">
      <c r="A15" s="91">
        <f>'Energy Use'!B26</f>
        <v>40940</v>
      </c>
      <c r="B15" s="97"/>
      <c r="C15" s="93"/>
      <c r="D15" s="122">
        <f>'Energy Use'!P26</f>
        <v>1.6314139999999999</v>
      </c>
      <c r="E15" s="122">
        <f>'Energy Use'!D26</f>
        <v>7</v>
      </c>
      <c r="F15" s="94">
        <f>CDD!B27</f>
        <v>0</v>
      </c>
      <c r="G15" s="94">
        <f>HDD!B36</f>
        <v>895</v>
      </c>
      <c r="H15" s="98"/>
      <c r="I15" s="98"/>
      <c r="J15" s="99"/>
      <c r="K15" s="90">
        <v>0</v>
      </c>
      <c r="L15" s="90">
        <v>950</v>
      </c>
      <c r="M15" s="123">
        <f t="shared" si="0"/>
        <v>6.6814999999999998</v>
      </c>
      <c r="N15" s="123">
        <f t="shared" si="1"/>
        <v>8.3129139999999992</v>
      </c>
      <c r="O15" s="106">
        <f>D15*'Energy Use'!$E$4+M15*'Energy Use'!$E$5</f>
        <v>12.44445326</v>
      </c>
      <c r="P15" s="56"/>
    </row>
    <row r="16" spans="1:16">
      <c r="A16" s="91">
        <f>'Energy Use'!B27</f>
        <v>40969</v>
      </c>
      <c r="B16" s="97"/>
      <c r="C16" s="93"/>
      <c r="D16" s="122">
        <f>'Energy Use'!P27</f>
        <v>1.5529149999999998</v>
      </c>
      <c r="E16" s="122">
        <f>'Energy Use'!D27</f>
        <v>3.9000000000000004</v>
      </c>
      <c r="F16" s="94">
        <f>CDD!B28</f>
        <v>23</v>
      </c>
      <c r="G16" s="94">
        <f>HDD!B37</f>
        <v>652</v>
      </c>
      <c r="H16" s="98"/>
      <c r="I16" s="98"/>
      <c r="J16" s="99"/>
      <c r="K16" s="90">
        <v>0</v>
      </c>
      <c r="L16" s="90">
        <v>813</v>
      </c>
      <c r="M16" s="123">
        <f t="shared" si="0"/>
        <v>5.8046999999999995</v>
      </c>
      <c r="N16" s="123">
        <f t="shared" si="1"/>
        <v>7.3576149999999991</v>
      </c>
      <c r="O16" s="106">
        <f>D16*'Energy Use'!$E$4+M16*'Energy Use'!$E$5</f>
        <v>11.264256999999997</v>
      </c>
      <c r="P16" s="56"/>
    </row>
    <row r="17" spans="1:16">
      <c r="A17" s="91">
        <f>'Energy Use'!B28</f>
        <v>41000</v>
      </c>
      <c r="B17" s="97"/>
      <c r="C17" s="93"/>
      <c r="D17" s="122">
        <f>'Energy Use'!P28</f>
        <v>1.5324369999999998</v>
      </c>
      <c r="E17" s="122">
        <f>'Energy Use'!D28</f>
        <v>2.4000000000000004</v>
      </c>
      <c r="F17" s="94">
        <f>CDD!B29</f>
        <v>26</v>
      </c>
      <c r="G17" s="94">
        <f>HDD!B38</f>
        <v>463</v>
      </c>
      <c r="H17" s="98"/>
      <c r="I17" s="98"/>
      <c r="J17" s="99"/>
      <c r="K17" s="90">
        <v>9</v>
      </c>
      <c r="L17" s="90">
        <v>537</v>
      </c>
      <c r="M17" s="123">
        <f t="shared" si="0"/>
        <v>4.0383000000000004</v>
      </c>
      <c r="N17" s="123">
        <f t="shared" si="1"/>
        <v>5.5707370000000003</v>
      </c>
      <c r="O17" s="106">
        <f>D17*'Energy Use'!$E$4+M17*'Energy Use'!$E$5</f>
        <v>9.3464396799999996</v>
      </c>
      <c r="P17" s="56"/>
    </row>
    <row r="18" spans="1:16">
      <c r="A18" s="91">
        <f>'Energy Use'!B29</f>
        <v>41030</v>
      </c>
      <c r="B18" s="97"/>
      <c r="C18" s="93"/>
      <c r="D18" s="122">
        <f>'Energy Use'!P29</f>
        <v>1.5733929999999998</v>
      </c>
      <c r="E18" s="122">
        <f>'Energy Use'!D29</f>
        <v>1.7000000000000002</v>
      </c>
      <c r="F18" s="94">
        <f>CDD!B30</f>
        <v>60</v>
      </c>
      <c r="G18" s="94">
        <f>HDD!B39</f>
        <v>208</v>
      </c>
      <c r="H18" s="98"/>
      <c r="I18" s="98"/>
      <c r="J18" s="99"/>
      <c r="K18" s="90">
        <v>30</v>
      </c>
      <c r="L18" s="90">
        <v>204</v>
      </c>
      <c r="M18" s="123">
        <f t="shared" si="0"/>
        <v>1.9071000000000002</v>
      </c>
      <c r="N18" s="123">
        <f t="shared" si="1"/>
        <v>3.4804930000000001</v>
      </c>
      <c r="O18" s="106">
        <f>D18*'Energy Use'!$E$4+M18*'Energy Use'!$E$5</f>
        <v>7.2518663199999995</v>
      </c>
      <c r="P18" s="56"/>
    </row>
    <row r="19" spans="1:16">
      <c r="A19" s="91">
        <f>'Energy Use'!B30</f>
        <v>41061</v>
      </c>
      <c r="B19" s="97"/>
      <c r="C19" s="93"/>
      <c r="D19" s="122">
        <f>'Energy Use'!P30</f>
        <v>2.129712</v>
      </c>
      <c r="E19" s="122">
        <f>'Energy Use'!D30</f>
        <v>1.2000000000000002</v>
      </c>
      <c r="F19" s="94">
        <f>CDD!B31</f>
        <v>128</v>
      </c>
      <c r="G19" s="94">
        <f>HDD!B40</f>
        <v>121</v>
      </c>
      <c r="H19" s="98"/>
      <c r="I19" s="98"/>
      <c r="J19" s="99"/>
      <c r="K19" s="90">
        <v>116</v>
      </c>
      <c r="L19" s="90">
        <v>87</v>
      </c>
      <c r="M19" s="123">
        <f t="shared" si="0"/>
        <v>1.1583000000000001</v>
      </c>
      <c r="N19" s="123">
        <f t="shared" si="1"/>
        <v>3.2880120000000002</v>
      </c>
      <c r="O19" s="106">
        <f>D19*'Energy Use'!$E$4+M19*'Energy Use'!$E$5</f>
        <v>8.3259781799999999</v>
      </c>
      <c r="P19" s="56"/>
    </row>
    <row r="20" spans="1:16">
      <c r="A20" s="91">
        <f>'Energy Use'!B31</f>
        <v>41101</v>
      </c>
      <c r="B20" s="92"/>
      <c r="C20" s="93"/>
      <c r="D20" s="122">
        <f>'Energy Use'!P31</f>
        <v>2.8123119999999999</v>
      </c>
      <c r="E20" s="122">
        <f>'Energy Use'!D31</f>
        <v>0.9</v>
      </c>
      <c r="F20" s="94">
        <f>CDD!B32</f>
        <v>291</v>
      </c>
      <c r="G20" s="94">
        <f>HDD!B41</f>
        <v>22</v>
      </c>
      <c r="H20" s="95"/>
      <c r="I20" s="95"/>
      <c r="J20" s="94"/>
      <c r="K20" s="96">
        <v>284</v>
      </c>
      <c r="L20" s="96">
        <v>3</v>
      </c>
      <c r="M20" s="123">
        <f t="shared" si="0"/>
        <v>0.62070000000000003</v>
      </c>
      <c r="N20" s="124">
        <f t="shared" si="1"/>
        <v>3.4330119999999997</v>
      </c>
      <c r="O20" s="106">
        <f>D20*'Energy Use'!$E$4+M20*'Energy Use'!$E$5</f>
        <v>10.04299498</v>
      </c>
      <c r="P20" s="118"/>
    </row>
    <row r="21" spans="1:16">
      <c r="A21" s="100"/>
      <c r="B21" s="77"/>
      <c r="C21" s="68"/>
      <c r="D21" s="68"/>
      <c r="E21" s="68"/>
      <c r="F21" s="88"/>
      <c r="G21" s="88"/>
      <c r="H21" s="69"/>
      <c r="I21" s="69"/>
      <c r="J21" s="88"/>
      <c r="K21" s="90"/>
      <c r="L21" s="90"/>
      <c r="M21" s="101"/>
      <c r="N21" s="125">
        <f>SUM(N9:N20)</f>
        <v>68.517371000000011</v>
      </c>
      <c r="O21" s="119">
        <f>SUM(O9:O20)</f>
        <v>127.82669394000001</v>
      </c>
      <c r="P21" s="56"/>
    </row>
    <row r="22" spans="1:16">
      <c r="A22" s="100"/>
      <c r="B22" s="77"/>
      <c r="C22" s="68"/>
      <c r="D22" s="68"/>
      <c r="E22" s="68"/>
      <c r="F22" s="88"/>
      <c r="G22" s="88"/>
      <c r="H22" s="69"/>
      <c r="I22" s="69"/>
      <c r="J22" s="88"/>
      <c r="K22" s="89"/>
      <c r="L22" s="89"/>
      <c r="M22" s="101"/>
      <c r="N22" s="126">
        <f>SUM(D9:D20)+SUM(E9:E20)</f>
        <v>66.160971000000004</v>
      </c>
      <c r="O22" s="104"/>
      <c r="P22" s="105"/>
    </row>
    <row r="23" spans="1:16">
      <c r="A23" s="100"/>
      <c r="B23" s="77"/>
      <c r="C23" s="68"/>
      <c r="D23" s="68"/>
      <c r="E23" s="68"/>
      <c r="F23" s="88"/>
      <c r="G23" s="88"/>
      <c r="H23" s="69"/>
      <c r="I23" s="69"/>
      <c r="J23" s="88"/>
      <c r="K23" s="89"/>
      <c r="L23" s="89"/>
      <c r="M23" s="102"/>
      <c r="N23" s="73"/>
      <c r="O23" s="104"/>
      <c r="P23" s="105"/>
    </row>
    <row r="24" spans="1:16">
      <c r="M24" s="103"/>
      <c r="N24" s="103">
        <f>(N22-N21)/N22</f>
        <v>-3.5616164097712649E-2</v>
      </c>
    </row>
  </sheetData>
  <mergeCells count="1">
    <mergeCell ref="J4:L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Pre-Retrofit</vt:lpstr>
      <vt:lpstr>Gas</vt:lpstr>
      <vt:lpstr>Elec</vt:lpstr>
      <vt:lpstr>Energy Use</vt:lpstr>
      <vt:lpstr>HDD</vt:lpstr>
      <vt:lpstr>CDD</vt:lpstr>
      <vt:lpstr>Weather Lin Regr Analysis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</dc:creator>
  <cp:lastModifiedBy>Cathy</cp:lastModifiedBy>
  <dcterms:created xsi:type="dcterms:W3CDTF">2011-09-05T16:23:18Z</dcterms:created>
  <dcterms:modified xsi:type="dcterms:W3CDTF">2013-03-15T16:30:43Z</dcterms:modified>
</cp:coreProperties>
</file>