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2"/>
  </bookViews>
  <sheets>
    <sheet name="Pre-Retrofit" sheetId="9" r:id="rId1"/>
    <sheet name="Gas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T29" i="8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P17"/>
  <c r="P16"/>
  <c r="P15"/>
  <c r="P14"/>
  <c r="P13"/>
  <c r="P12"/>
  <c r="P11"/>
  <c r="Q11"/>
  <c r="P29"/>
  <c r="P28"/>
  <c r="P27"/>
  <c r="P26"/>
  <c r="P25"/>
  <c r="P24"/>
  <c r="P23"/>
  <c r="P22"/>
  <c r="P21"/>
  <c r="P20"/>
  <c r="P19"/>
  <c r="P18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C19"/>
  <c r="C20"/>
  <c r="C21"/>
  <c r="C22"/>
  <c r="C23"/>
  <c r="C24"/>
  <c r="C25"/>
  <c r="C26"/>
  <c r="C27"/>
  <c r="C28"/>
  <c r="C29"/>
  <c r="K19"/>
  <c r="L19"/>
  <c r="N19"/>
  <c r="K20"/>
  <c r="L20"/>
  <c r="N20"/>
  <c r="K21"/>
  <c r="L21"/>
  <c r="N21"/>
  <c r="K22"/>
  <c r="L22"/>
  <c r="N22"/>
  <c r="K23"/>
  <c r="L23"/>
  <c r="N23"/>
  <c r="K24"/>
  <c r="L24"/>
  <c r="N24"/>
  <c r="K25"/>
  <c r="L25"/>
  <c r="N25"/>
  <c r="K26"/>
  <c r="L26"/>
  <c r="N26"/>
  <c r="K27"/>
  <c r="L27"/>
  <c r="N27"/>
  <c r="K28"/>
  <c r="L28"/>
  <c r="N28"/>
  <c r="K29"/>
  <c r="L29"/>
  <c r="N29"/>
  <c r="K18"/>
  <c r="L18"/>
  <c r="N18"/>
  <c r="S18"/>
  <c r="C18"/>
  <c r="D18" s="1"/>
  <c r="M20" i="3"/>
  <c r="M19"/>
  <c r="M18"/>
  <c r="M17"/>
  <c r="M16"/>
  <c r="M15"/>
  <c r="M14"/>
  <c r="M13"/>
  <c r="M12"/>
  <c r="M11"/>
  <c r="M10"/>
  <c r="M9"/>
  <c r="C17" i="8"/>
  <c r="K17"/>
  <c r="L17"/>
  <c r="N17"/>
  <c r="A20" i="3"/>
  <c r="A19"/>
  <c r="A18"/>
  <c r="A17"/>
  <c r="A16"/>
  <c r="A15"/>
  <c r="A14"/>
  <c r="A13"/>
  <c r="A12"/>
  <c r="A11"/>
  <c r="A10"/>
  <c r="A9"/>
  <c r="G20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A8"/>
  <c r="F4"/>
  <c r="C40" i="8"/>
  <c r="L16"/>
  <c r="K16"/>
  <c r="L15"/>
  <c r="K15"/>
  <c r="L14"/>
  <c r="K14"/>
  <c r="L13"/>
  <c r="K13"/>
  <c r="L12"/>
  <c r="K12"/>
  <c r="K11"/>
  <c r="C16"/>
  <c r="C15"/>
  <c r="C14"/>
  <c r="C13"/>
  <c r="C12"/>
  <c r="C11"/>
  <c r="X28" i="9"/>
  <c r="W28"/>
  <c r="U28"/>
  <c r="T28"/>
  <c r="P28"/>
  <c r="O28"/>
  <c r="M28"/>
  <c r="K28"/>
  <c r="C28"/>
  <c r="E21"/>
  <c r="E20"/>
  <c r="D28"/>
  <c r="E19"/>
  <c r="G28"/>
  <c r="E28"/>
  <c r="H28"/>
  <c r="D29" i="2"/>
  <c r="D28"/>
  <c r="D27"/>
  <c r="D26"/>
  <c r="D25"/>
  <c r="D24"/>
  <c r="D23"/>
  <c r="D22"/>
  <c r="D21"/>
  <c r="D20"/>
  <c r="D19"/>
  <c r="D18"/>
  <c r="D16"/>
  <c r="D15"/>
  <c r="D14"/>
  <c r="D13"/>
  <c r="D12"/>
  <c r="D11"/>
  <c r="D10"/>
  <c r="D9"/>
  <c r="D8"/>
  <c r="D7"/>
  <c r="D17"/>
  <c r="D28" i="1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28" i="2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R18" i="8"/>
  <c r="U18" s="1"/>
  <c r="N16"/>
  <c r="R16"/>
  <c r="U16" s="1"/>
  <c r="N15"/>
  <c r="N14"/>
  <c r="N13"/>
  <c r="N12"/>
  <c r="N11"/>
  <c r="L11"/>
  <c r="E2"/>
  <c r="D20" s="1"/>
  <c r="E3"/>
  <c r="E1" s="1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D30" i="1"/>
  <c r="D29"/>
  <c r="C30"/>
  <c r="D12" i="8"/>
  <c r="E12" s="1"/>
  <c r="H12" s="1"/>
  <c r="D14"/>
  <c r="E14" s="1"/>
  <c r="H14" s="1"/>
  <c r="D16"/>
  <c r="E16" s="1"/>
  <c r="H16" s="1"/>
  <c r="S16"/>
  <c r="R12" l="1"/>
  <c r="AC12"/>
  <c r="S12"/>
  <c r="C36"/>
  <c r="Z16"/>
  <c r="Z12"/>
  <c r="R14"/>
  <c r="E11" i="3"/>
  <c r="G20" i="8"/>
  <c r="Y20" s="1"/>
  <c r="E20"/>
  <c r="H20" s="1"/>
  <c r="E9" i="3"/>
  <c r="G18" i="8"/>
  <c r="Y18" s="1"/>
  <c r="E18"/>
  <c r="H18" s="1"/>
  <c r="R28"/>
  <c r="U28" s="1"/>
  <c r="S26"/>
  <c r="D17" i="3" s="1"/>
  <c r="S24" i="8"/>
  <c r="D15" i="3" s="1"/>
  <c r="N15" s="1"/>
  <c r="R24" i="8"/>
  <c r="U24" s="1"/>
  <c r="S20"/>
  <c r="D11" i="3" s="1"/>
  <c r="N11" s="1"/>
  <c r="G16" i="8"/>
  <c r="Y16" s="1"/>
  <c r="G14"/>
  <c r="G12"/>
  <c r="Y12" s="1"/>
  <c r="R11"/>
  <c r="U11" s="1"/>
  <c r="S11"/>
  <c r="Z14"/>
  <c r="AC14"/>
  <c r="R29"/>
  <c r="U29" s="1"/>
  <c r="S27"/>
  <c r="D18" i="3" s="1"/>
  <c r="P18" s="1"/>
  <c r="R25" i="8"/>
  <c r="U25" s="1"/>
  <c r="R23"/>
  <c r="U23" s="1"/>
  <c r="S21"/>
  <c r="D12" i="3" s="1"/>
  <c r="S19" i="8"/>
  <c r="D10" i="3" s="1"/>
  <c r="P10" s="1"/>
  <c r="AC16" i="8"/>
  <c r="AC18"/>
  <c r="D29"/>
  <c r="D27"/>
  <c r="D25"/>
  <c r="D23"/>
  <c r="D21"/>
  <c r="D19"/>
  <c r="D31" s="1"/>
  <c r="N30"/>
  <c r="N31" s="1"/>
  <c r="AB12"/>
  <c r="AB16"/>
  <c r="D15"/>
  <c r="D13"/>
  <c r="D11"/>
  <c r="R15"/>
  <c r="U15" s="1"/>
  <c r="C41"/>
  <c r="M41"/>
  <c r="D17"/>
  <c r="E17" s="1"/>
  <c r="H17" s="1"/>
  <c r="D28"/>
  <c r="D26"/>
  <c r="D24"/>
  <c r="D22"/>
  <c r="C37"/>
  <c r="C35" s="1"/>
  <c r="D35" s="1"/>
  <c r="E35" s="1"/>
  <c r="N18" i="3"/>
  <c r="E8"/>
  <c r="G17" i="8"/>
  <c r="Y17" s="1"/>
  <c r="D30"/>
  <c r="E30" s="1"/>
  <c r="AA16"/>
  <c r="AD16" s="1"/>
  <c r="M33"/>
  <c r="S33" s="1"/>
  <c r="T33" s="1"/>
  <c r="C33"/>
  <c r="D33" s="1"/>
  <c r="S17"/>
  <c r="R17"/>
  <c r="U17" s="1"/>
  <c r="P15" i="3"/>
  <c r="P11"/>
  <c r="D9"/>
  <c r="AB18" i="8"/>
  <c r="G35"/>
  <c r="E33"/>
  <c r="S13"/>
  <c r="AB13" s="1"/>
  <c r="R13"/>
  <c r="U13" s="1"/>
  <c r="E31" l="1"/>
  <c r="M36"/>
  <c r="R27"/>
  <c r="U27" s="1"/>
  <c r="AA14"/>
  <c r="AD14" s="1"/>
  <c r="U14"/>
  <c r="AC20"/>
  <c r="M40"/>
  <c r="S28"/>
  <c r="D19" i="3" s="1"/>
  <c r="N19" s="1"/>
  <c r="AA12" i="8"/>
  <c r="AD12" s="1"/>
  <c r="U12"/>
  <c r="N10" i="3"/>
  <c r="S15" i="8"/>
  <c r="AB15" s="1"/>
  <c r="R21"/>
  <c r="U21" s="1"/>
  <c r="S25"/>
  <c r="D16" i="3" s="1"/>
  <c r="N16" s="1"/>
  <c r="S29" i="8"/>
  <c r="D20" i="3" s="1"/>
  <c r="N20" s="1"/>
  <c r="R22" i="8"/>
  <c r="U22" s="1"/>
  <c r="S22"/>
  <c r="D13" i="3" s="1"/>
  <c r="R26" i="8"/>
  <c r="U26" s="1"/>
  <c r="U30" s="1"/>
  <c r="P19" i="3"/>
  <c r="AB33" i="8"/>
  <c r="R19"/>
  <c r="U19" s="1"/>
  <c r="S23"/>
  <c r="D14" i="3" s="1"/>
  <c r="N22" s="1"/>
  <c r="M37" i="8"/>
  <c r="M35" s="1"/>
  <c r="S35" s="1"/>
  <c r="S14"/>
  <c r="AB14" s="1"/>
  <c r="Y14"/>
  <c r="R20"/>
  <c r="U20" s="1"/>
  <c r="E17" i="3"/>
  <c r="G26" i="8"/>
  <c r="Y26" s="1"/>
  <c r="AB26"/>
  <c r="E26"/>
  <c r="E11"/>
  <c r="G11"/>
  <c r="Y11" s="1"/>
  <c r="E15"/>
  <c r="H15" s="1"/>
  <c r="G15"/>
  <c r="Y15" s="1"/>
  <c r="E12" i="3"/>
  <c r="G21" i="8"/>
  <c r="Y21" s="1"/>
  <c r="AB21"/>
  <c r="E21"/>
  <c r="E20" i="3"/>
  <c r="G29" i="8"/>
  <c r="Y29" s="1"/>
  <c r="AB29"/>
  <c r="E29"/>
  <c r="P16" i="3"/>
  <c r="E15"/>
  <c r="G24" i="8"/>
  <c r="Y24" s="1"/>
  <c r="E24"/>
  <c r="H24" s="1"/>
  <c r="AB24"/>
  <c r="E19" i="3"/>
  <c r="G28" i="8"/>
  <c r="Y28" s="1"/>
  <c r="E28"/>
  <c r="E13"/>
  <c r="H13" s="1"/>
  <c r="AA13" s="1"/>
  <c r="AD13" s="1"/>
  <c r="G13"/>
  <c r="Y13" s="1"/>
  <c r="E10" i="3"/>
  <c r="G19" i="8"/>
  <c r="Y19" s="1"/>
  <c r="AB19"/>
  <c r="E19"/>
  <c r="E14" i="3"/>
  <c r="G23" i="8"/>
  <c r="Y23" s="1"/>
  <c r="E23"/>
  <c r="E18" i="3"/>
  <c r="G27" i="8"/>
  <c r="Y27" s="1"/>
  <c r="E27"/>
  <c r="H27" s="1"/>
  <c r="AB27"/>
  <c r="P12" i="3"/>
  <c r="N12"/>
  <c r="P20"/>
  <c r="P17"/>
  <c r="N17"/>
  <c r="AA18" i="8"/>
  <c r="Z18"/>
  <c r="AC13"/>
  <c r="Z13"/>
  <c r="AC17"/>
  <c r="AA17"/>
  <c r="AD17" s="1"/>
  <c r="AA15"/>
  <c r="AD15" s="1"/>
  <c r="AB11"/>
  <c r="AB20"/>
  <c r="E13" i="3"/>
  <c r="G22" i="8"/>
  <c r="Y22" s="1"/>
  <c r="E22"/>
  <c r="H22" s="1"/>
  <c r="AB22"/>
  <c r="E16" i="3"/>
  <c r="G25" i="8"/>
  <c r="Y25" s="1"/>
  <c r="E25"/>
  <c r="H25" s="1"/>
  <c r="AB25"/>
  <c r="Z20"/>
  <c r="AA20"/>
  <c r="AD20" s="1"/>
  <c r="Z15"/>
  <c r="AC25"/>
  <c r="AC27"/>
  <c r="AD33"/>
  <c r="Z17"/>
  <c r="H35"/>
  <c r="N9" i="3"/>
  <c r="P9"/>
  <c r="D8"/>
  <c r="AB17" i="8"/>
  <c r="R20" i="3" l="1"/>
  <c r="AB28" i="8"/>
  <c r="AB41" s="1"/>
  <c r="T30"/>
  <c r="P30"/>
  <c r="P13" i="3"/>
  <c r="N13"/>
  <c r="S31" i="8"/>
  <c r="AB31" s="1"/>
  <c r="P31"/>
  <c r="AC24"/>
  <c r="S30"/>
  <c r="AB30" s="1"/>
  <c r="AC15"/>
  <c r="AB23"/>
  <c r="AB39" s="1"/>
  <c r="U31"/>
  <c r="T35"/>
  <c r="AD35" s="1"/>
  <c r="AB35"/>
  <c r="R43"/>
  <c r="N14" i="3"/>
  <c r="P14"/>
  <c r="P21" s="1"/>
  <c r="Z25" i="8"/>
  <c r="AA25"/>
  <c r="AD25" s="1"/>
  <c r="H19"/>
  <c r="E43"/>
  <c r="H21"/>
  <c r="AC21"/>
  <c r="AD18"/>
  <c r="Z27"/>
  <c r="AA27"/>
  <c r="AD27" s="1"/>
  <c r="AC23"/>
  <c r="H23"/>
  <c r="Z24"/>
  <c r="AA24"/>
  <c r="AC11"/>
  <c r="H11"/>
  <c r="AC22"/>
  <c r="AC19"/>
  <c r="Z22"/>
  <c r="AA22"/>
  <c r="AD22" s="1"/>
  <c r="H28"/>
  <c r="AC28"/>
  <c r="H29"/>
  <c r="AC29"/>
  <c r="AC26"/>
  <c r="H26"/>
  <c r="Y39"/>
  <c r="Y41"/>
  <c r="R14" i="3"/>
  <c r="N21" l="1"/>
  <c r="N24" s="1"/>
  <c r="AC41" i="8"/>
  <c r="Z29"/>
  <c r="AA29"/>
  <c r="AD29" s="1"/>
  <c r="Z28"/>
  <c r="AA28"/>
  <c r="AD28" s="1"/>
  <c r="Z21"/>
  <c r="AA21"/>
  <c r="AD21" s="1"/>
  <c r="Z19"/>
  <c r="AA19"/>
  <c r="Z26"/>
  <c r="Z41" s="1"/>
  <c r="AA26"/>
  <c r="AD26" s="1"/>
  <c r="Z11"/>
  <c r="AA11"/>
  <c r="AD11" s="1"/>
  <c r="AD24"/>
  <c r="AA41"/>
  <c r="Z23"/>
  <c r="AA23"/>
  <c r="AD23" s="1"/>
  <c r="AC39"/>
  <c r="AD41" l="1"/>
  <c r="Z39"/>
  <c r="AD19"/>
  <c r="AD39" s="1"/>
  <c r="AA39"/>
</calcChain>
</file>

<file path=xl/sharedStrings.xml><?xml version="1.0" encoding="utf-8"?>
<sst xmlns="http://schemas.openxmlformats.org/spreadsheetml/2006/main" count="149" uniqueCount="86">
  <si>
    <t>therms</t>
  </si>
  <si>
    <t>HDD</t>
  </si>
  <si>
    <t>Electricity used</t>
  </si>
  <si>
    <t>(negative)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</si>
  <si>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</si>
  <si>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</si>
  <si>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</si>
  <si>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</si>
  <si>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</si>
  <si>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</si>
  <si>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</si>
  <si>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</si>
  <si>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</si>
  <si>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</si>
  <si>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</si>
  <si>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</si>
  <si>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</si>
  <si>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</si>
  <si>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</si>
  <si>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</si>
  <si>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</si>
  <si>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</si>
  <si>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</si>
  <si>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</si>
  <si>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</si>
  <si>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</si>
  <si>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</si>
  <si>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</si>
  <si>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</si>
  <si>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</si>
  <si>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</si>
  <si>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</si>
  <si>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 xml:space="preserve">PV Production </t>
  </si>
  <si>
    <t>SREC Trade</t>
  </si>
  <si>
    <t>Total elec use</t>
  </si>
  <si>
    <t>MILTON BLUE HILL OBSERV, MA, US (71.11W,42.21N)</t>
  </si>
  <si>
    <t>KMQE</t>
  </si>
  <si>
    <t>Milton</t>
  </si>
  <si>
    <t>Milton Gas Usage from NGrid</t>
  </si>
  <si>
    <t>Koh - Nstar</t>
  </si>
  <si>
    <t>Electricity use</t>
  </si>
  <si>
    <t>Data from BEOpt</t>
  </si>
  <si>
    <t>Electricity</t>
  </si>
  <si>
    <t>kwh</t>
  </si>
  <si>
    <t>Natural Gas</t>
  </si>
  <si>
    <t>Oil</t>
  </si>
  <si>
    <t>gallons</t>
  </si>
  <si>
    <t>Milton Single Family</t>
  </si>
  <si>
    <t>Koh</t>
  </si>
  <si>
    <t>Pre retrofit is from BEopt.  For NREL 2012, use BEopt 1.3; model is at 04-Energy Analysis DER project/BEopt modeling/1_3 Koh_Opt and AsBuilt.bpj In Individual projects section of National Grid DER</t>
  </si>
  <si>
    <t>(Furnace and HW)</t>
  </si>
  <si>
    <t>Move in</t>
  </si>
  <si>
    <t>Project complete</t>
  </si>
  <si>
    <t>Totals 12 months</t>
  </si>
  <si>
    <t>Totals 6 months</t>
  </si>
  <si>
    <t>POST RETROFIT</t>
  </si>
  <si>
    <t xml:space="preserve">Period </t>
  </si>
  <si>
    <t>BEopt Model</t>
  </si>
  <si>
    <t>src if no PV</t>
  </si>
  <si>
    <t>src If no PV</t>
  </si>
  <si>
    <t>MIN USAGE (w 12 mos data use 2 lowest; don't use Aug because probably during movein)</t>
  </si>
  <si>
    <t>Linear Regression on Post Retrofit data</t>
  </si>
  <si>
    <t xml:space="preserve">Month </t>
  </si>
  <si>
    <t>Date</t>
  </si>
  <si>
    <t>Actual CDD</t>
  </si>
  <si>
    <t>Actual HDD</t>
  </si>
  <si>
    <t>Comments</t>
  </si>
  <si>
    <t>Predicted (BEopt 1.3) BOSTON</t>
  </si>
  <si>
    <t>BEopt 1.3 kWh</t>
  </si>
  <si>
    <t>BEopt 1.3 CDD</t>
  </si>
  <si>
    <t>BEopt 1.3 HDD</t>
  </si>
  <si>
    <t>Actual site energy</t>
  </si>
  <si>
    <t>Actual MMBtu</t>
  </si>
  <si>
    <t>Normalized</t>
  </si>
  <si>
    <t>Gas</t>
  </si>
  <si>
    <t>Site</t>
  </si>
  <si>
    <t xml:space="preserve">Normalized </t>
  </si>
  <si>
    <t>Source</t>
  </si>
  <si>
    <t>MIN USAGE 6 mo</t>
  </si>
  <si>
    <t>12 mo MMBth</t>
  </si>
  <si>
    <t>6 mo</t>
  </si>
  <si>
    <t>site kWh excluding on site gen + used</t>
  </si>
  <si>
    <t>12 mo</t>
  </si>
  <si>
    <t>buyback</t>
  </si>
  <si>
    <t>PV used</t>
  </si>
  <si>
    <t>Usng 1.0 conv for site gen + used</t>
  </si>
</sst>
</file>

<file path=xl/styles.xml><?xml version="1.0" encoding="utf-8"?>
<styleSheet xmlns="http://schemas.openxmlformats.org/spreadsheetml/2006/main">
  <numFmts count="1">
    <numFmt numFmtId="164" formatCode="&quot;$&quot;#,##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/>
    <xf numFmtId="0" fontId="18" fillId="0" borderId="10" xfId="42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0" fontId="0" fillId="0" borderId="10" xfId="0" applyBorder="1"/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18" fillId="33" borderId="10" xfId="42" applyNumberFormat="1" applyFont="1" applyFill="1" applyBorder="1" applyAlignment="1">
      <alignment wrapText="1"/>
    </xf>
    <xf numFmtId="0" fontId="0" fillId="33" borderId="10" xfId="0" applyFill="1" applyBorder="1"/>
    <xf numFmtId="0" fontId="18" fillId="33" borderId="11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4" fontId="20" fillId="0" borderId="20" xfId="0" applyNumberFormat="1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2" fontId="18" fillId="33" borderId="10" xfId="42" applyNumberFormat="1" applyFont="1" applyFill="1" applyBorder="1" applyAlignment="1">
      <alignment wrapText="1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5" xfId="0" applyNumberFormat="1" applyBorder="1"/>
    <xf numFmtId="2" fontId="0" fillId="0" borderId="0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18" fillId="0" borderId="21" xfId="42" applyNumberFormat="1" applyFont="1" applyFill="1" applyBorder="1" applyAlignment="1">
      <alignment wrapText="1"/>
    </xf>
    <xf numFmtId="17" fontId="0" fillId="0" borderId="0" xfId="0" applyNumberFormat="1" applyFill="1" applyBorder="1"/>
    <xf numFmtId="0" fontId="0" fillId="0" borderId="13" xfId="0" applyFill="1" applyBorder="1"/>
    <xf numFmtId="17" fontId="0" fillId="0" borderId="0" xfId="0" applyNumberFormat="1" applyBorder="1"/>
    <xf numFmtId="0" fontId="0" fillId="0" borderId="18" xfId="0" applyFill="1" applyBorder="1"/>
    <xf numFmtId="0" fontId="0" fillId="0" borderId="23" xfId="0" applyBorder="1"/>
    <xf numFmtId="2" fontId="0" fillId="0" borderId="23" xfId="0" applyNumberFormat="1" applyBorder="1"/>
    <xf numFmtId="2" fontId="0" fillId="0" borderId="24" xfId="0" applyNumberFormat="1" applyBorder="1"/>
    <xf numFmtId="0" fontId="18" fillId="0" borderId="22" xfId="42" applyNumberFormat="1" applyFont="1" applyFill="1" applyBorder="1" applyAlignment="1">
      <alignment wrapText="1"/>
    </xf>
    <xf numFmtId="0" fontId="18" fillId="0" borderId="24" xfId="42" applyNumberFormat="1" applyFont="1" applyFill="1" applyBorder="1" applyAlignment="1">
      <alignment wrapText="1"/>
    </xf>
    <xf numFmtId="0" fontId="0" fillId="0" borderId="25" xfId="0" applyBorder="1"/>
    <xf numFmtId="17" fontId="0" fillId="0" borderId="26" xfId="0" applyNumberFormat="1" applyBorder="1"/>
    <xf numFmtId="0" fontId="0" fillId="0" borderId="26" xfId="0" applyFill="1" applyBorder="1"/>
    <xf numFmtId="2" fontId="18" fillId="0" borderId="26" xfId="42" applyNumberFormat="1" applyFont="1" applyFill="1" applyBorder="1" applyAlignment="1">
      <alignment wrapText="1"/>
    </xf>
    <xf numFmtId="2" fontId="0" fillId="0" borderId="26" xfId="0" applyNumberFormat="1" applyBorder="1"/>
    <xf numFmtId="0" fontId="0" fillId="0" borderId="26" xfId="0" applyBorder="1"/>
    <xf numFmtId="164" fontId="21" fillId="0" borderId="18" xfId="42" applyNumberFormat="1" applyFont="1" applyFill="1" applyBorder="1" applyAlignment="1">
      <alignment horizontal="center" wrapText="1"/>
    </xf>
    <xf numFmtId="0" fontId="22" fillId="0" borderId="18" xfId="0" applyFont="1" applyBorder="1"/>
    <xf numFmtId="0" fontId="22" fillId="0" borderId="0" xfId="0" applyFont="1" applyBorder="1"/>
    <xf numFmtId="0" fontId="22" fillId="0" borderId="0" xfId="0" applyFont="1"/>
    <xf numFmtId="1" fontId="23" fillId="0" borderId="0" xfId="0" applyNumberFormat="1" applyFont="1"/>
    <xf numFmtId="10" fontId="0" fillId="0" borderId="0" xfId="0" applyNumberFormat="1"/>
    <xf numFmtId="2" fontId="23" fillId="34" borderId="0" xfId="0" applyNumberFormat="1" applyFont="1" applyFill="1" applyBorder="1"/>
    <xf numFmtId="2" fontId="23" fillId="34" borderId="18" xfId="0" applyNumberFormat="1" applyFont="1" applyFill="1" applyBorder="1"/>
    <xf numFmtId="0" fontId="18" fillId="0" borderId="23" xfId="42" applyNumberFormat="1" applyFont="1" applyFill="1" applyBorder="1" applyAlignment="1">
      <alignment wrapText="1"/>
    </xf>
    <xf numFmtId="17" fontId="0" fillId="0" borderId="25" xfId="0" applyNumberFormat="1" applyBorder="1"/>
    <xf numFmtId="2" fontId="0" fillId="0" borderId="27" xfId="0" applyNumberFormat="1" applyBorder="1"/>
    <xf numFmtId="2" fontId="0" fillId="0" borderId="0" xfId="0" applyNumberFormat="1" applyFill="1" applyBorder="1"/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2" fontId="18" fillId="0" borderId="22" xfId="42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3" fontId="18" fillId="0" borderId="0" xfId="42" applyNumberFormat="1" applyFont="1" applyAlignment="1">
      <alignment horizontal="center"/>
    </xf>
    <xf numFmtId="0" fontId="18" fillId="33" borderId="0" xfId="42" applyNumberFormat="1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Milton </a:t>
            </a:r>
            <a:r>
              <a:rPr lang="en-US" baseline="0"/>
              <a:t>Natural Gas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68"/>
          <c:w val="0.70199463053389777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Gas!$C$5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Gas!$A$9:$A$28</c:f>
              <c:numCache>
                <c:formatCode>mmm-yy</c:formatCode>
                <c:ptCount val="20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40735</c:v>
                </c:pt>
                <c:pt idx="8">
                  <c:v>40766</c:v>
                </c:pt>
                <c:pt idx="9">
                  <c:v>40797</c:v>
                </c:pt>
                <c:pt idx="10">
                  <c:v>40827</c:v>
                </c:pt>
                <c:pt idx="11">
                  <c:v>40858</c:v>
                </c:pt>
                <c:pt idx="12">
                  <c:v>40888</c:v>
                </c:pt>
                <c:pt idx="13">
                  <c:v>40920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</c:numCache>
            </c:numRef>
          </c:cat>
          <c:val>
            <c:numRef>
              <c:f>Gas!$C$10:$C$29</c:f>
              <c:numCache>
                <c:formatCode>General</c:formatCode>
                <c:ptCount val="20"/>
                <c:pt idx="0">
                  <c:v>55</c:v>
                </c:pt>
                <c:pt idx="1">
                  <c:v>46</c:v>
                </c:pt>
                <c:pt idx="2">
                  <c:v>34</c:v>
                </c:pt>
                <c:pt idx="3">
                  <c:v>29</c:v>
                </c:pt>
                <c:pt idx="4">
                  <c:v>18</c:v>
                </c:pt>
                <c:pt idx="5">
                  <c:v>9</c:v>
                </c:pt>
                <c:pt idx="6">
                  <c:v>3</c:v>
                </c:pt>
                <c:pt idx="7">
                  <c:v>3</c:v>
                </c:pt>
                <c:pt idx="8">
                  <c:v>10</c:v>
                </c:pt>
                <c:pt idx="9">
                  <c:v>14</c:v>
                </c:pt>
                <c:pt idx="10">
                  <c:v>24</c:v>
                </c:pt>
                <c:pt idx="11">
                  <c:v>34</c:v>
                </c:pt>
                <c:pt idx="12">
                  <c:v>65</c:v>
                </c:pt>
                <c:pt idx="13">
                  <c:v>50</c:v>
                </c:pt>
                <c:pt idx="14">
                  <c:v>43</c:v>
                </c:pt>
                <c:pt idx="15">
                  <c:v>24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</c:numCache>
            </c:numRef>
          </c:val>
        </c:ser>
        <c:axId val="108307968"/>
        <c:axId val="108323200"/>
      </c:barChart>
      <c:lineChart>
        <c:grouping val="standard"/>
        <c:ser>
          <c:idx val="1"/>
          <c:order val="1"/>
          <c:tx>
            <c:strRef>
              <c:f>Gas!$D$5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Gas!$A$9:$A$15</c:f>
              <c:numCache>
                <c:formatCode>mmm-yy</c:formatCode>
                <c:ptCount val="7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</c:numCache>
            </c:numRef>
          </c:cat>
          <c:val>
            <c:numRef>
              <c:f>Gas!$D$9:$D$28</c:f>
              <c:numCache>
                <c:formatCode>General</c:formatCode>
                <c:ptCount val="20"/>
                <c:pt idx="0">
                  <c:v>1122</c:v>
                </c:pt>
                <c:pt idx="1">
                  <c:v>1261</c:v>
                </c:pt>
                <c:pt idx="2">
                  <c:v>1042</c:v>
                </c:pt>
                <c:pt idx="3">
                  <c:v>906</c:v>
                </c:pt>
                <c:pt idx="4">
                  <c:v>533</c:v>
                </c:pt>
                <c:pt idx="5">
                  <c:v>310</c:v>
                </c:pt>
                <c:pt idx="6">
                  <c:v>117</c:v>
                </c:pt>
                <c:pt idx="7">
                  <c:v>11</c:v>
                </c:pt>
                <c:pt idx="8">
                  <c:v>22</c:v>
                </c:pt>
                <c:pt idx="9">
                  <c:v>106</c:v>
                </c:pt>
                <c:pt idx="10">
                  <c:v>393</c:v>
                </c:pt>
                <c:pt idx="11">
                  <c:v>513</c:v>
                </c:pt>
                <c:pt idx="12">
                  <c:v>863</c:v>
                </c:pt>
                <c:pt idx="13">
                  <c:v>1057</c:v>
                </c:pt>
                <c:pt idx="14">
                  <c:v>900</c:v>
                </c:pt>
                <c:pt idx="15">
                  <c:v>690</c:v>
                </c:pt>
                <c:pt idx="16">
                  <c:v>461</c:v>
                </c:pt>
                <c:pt idx="17">
                  <c:v>213</c:v>
                </c:pt>
                <c:pt idx="18">
                  <c:v>126</c:v>
                </c:pt>
                <c:pt idx="19">
                  <c:v>8</c:v>
                </c:pt>
              </c:numCache>
            </c:numRef>
          </c:val>
        </c:ser>
        <c:marker val="1"/>
        <c:axId val="109191936"/>
        <c:axId val="108325120"/>
      </c:lineChart>
      <c:dateAx>
        <c:axId val="108307968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108323200"/>
        <c:crosses val="autoZero"/>
        <c:auto val="1"/>
        <c:lblOffset val="100"/>
        <c:baseTimeUnit val="months"/>
      </c:dateAx>
      <c:valAx>
        <c:axId val="1083232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</c:title>
        <c:numFmt formatCode="General" sourceLinked="1"/>
        <c:tickLblPos val="nextTo"/>
        <c:crossAx val="108307968"/>
        <c:crosses val="autoZero"/>
        <c:crossBetween val="between"/>
      </c:valAx>
      <c:valAx>
        <c:axId val="10832512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109191936"/>
        <c:crosses val="max"/>
        <c:crossBetween val="between"/>
      </c:valAx>
      <c:dateAx>
        <c:axId val="109191936"/>
        <c:scaling>
          <c:orientation val="minMax"/>
        </c:scaling>
        <c:delete val="1"/>
        <c:axPos val="b"/>
        <c:numFmt formatCode="mmm-yy" sourceLinked="1"/>
        <c:tickLblPos val="none"/>
        <c:crossAx val="108325120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083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Milton</a:t>
            </a:r>
            <a:r>
              <a:rPr lang="en-US" sz="1200" baseline="0"/>
              <a:t> Electrical Consumption &amp; PV Production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445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Elec!$D$10:$D$28</c:f>
              <c:numCache>
                <c:formatCode>0.00</c:formatCode>
                <c:ptCount val="19"/>
                <c:pt idx="0">
                  <c:v>121</c:v>
                </c:pt>
                <c:pt idx="1">
                  <c:v>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176.69</c:v>
                </c:pt>
                <c:pt idx="8">
                  <c:v>668.06999999999994</c:v>
                </c:pt>
                <c:pt idx="9">
                  <c:v>616.41000000000008</c:v>
                </c:pt>
                <c:pt idx="10">
                  <c:v>705.06999999999994</c:v>
                </c:pt>
                <c:pt idx="11">
                  <c:v>780.41000000000008</c:v>
                </c:pt>
                <c:pt idx="12">
                  <c:v>727.41000000000008</c:v>
                </c:pt>
                <c:pt idx="13">
                  <c:v>651.74</c:v>
                </c:pt>
                <c:pt idx="14">
                  <c:v>495.41</c:v>
                </c:pt>
                <c:pt idx="15">
                  <c:v>369.07</c:v>
                </c:pt>
                <c:pt idx="16">
                  <c:v>462.41</c:v>
                </c:pt>
                <c:pt idx="17">
                  <c:v>435.07</c:v>
                </c:pt>
                <c:pt idx="18">
                  <c:v>559.75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Elec!$E$10:$E$28</c:f>
              <c:numCache>
                <c:formatCode>General</c:formatCode>
                <c:ptCount val="19"/>
                <c:pt idx="7">
                  <c:v>-90.69</c:v>
                </c:pt>
                <c:pt idx="8">
                  <c:v>-340.07</c:v>
                </c:pt>
                <c:pt idx="9">
                  <c:v>-351.41</c:v>
                </c:pt>
                <c:pt idx="10">
                  <c:v>-340.07</c:v>
                </c:pt>
                <c:pt idx="11">
                  <c:v>-351.41</c:v>
                </c:pt>
                <c:pt idx="12">
                  <c:v>-351.41</c:v>
                </c:pt>
                <c:pt idx="13">
                  <c:v>-328.74</c:v>
                </c:pt>
                <c:pt idx="14">
                  <c:v>-351.41</c:v>
                </c:pt>
                <c:pt idx="15">
                  <c:v>-340.07</c:v>
                </c:pt>
                <c:pt idx="16">
                  <c:v>-351.41</c:v>
                </c:pt>
                <c:pt idx="17">
                  <c:v>-340.07</c:v>
                </c:pt>
                <c:pt idx="18">
                  <c:v>-396.75</c:v>
                </c:pt>
              </c:numCache>
            </c:numRef>
          </c:val>
        </c:ser>
        <c:gapWidth val="202"/>
        <c:overlap val="100"/>
        <c:axId val="110559616"/>
        <c:axId val="110568192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Elec!$F$10:$F$28</c:f>
              <c:numCache>
                <c:formatCode>General</c:formatCode>
                <c:ptCount val="19"/>
                <c:pt idx="0">
                  <c:v>1261</c:v>
                </c:pt>
                <c:pt idx="1">
                  <c:v>1042</c:v>
                </c:pt>
                <c:pt idx="2">
                  <c:v>906</c:v>
                </c:pt>
                <c:pt idx="3">
                  <c:v>533</c:v>
                </c:pt>
                <c:pt idx="4">
                  <c:v>310</c:v>
                </c:pt>
                <c:pt idx="5">
                  <c:v>117</c:v>
                </c:pt>
                <c:pt idx="6">
                  <c:v>11</c:v>
                </c:pt>
                <c:pt idx="7">
                  <c:v>22</c:v>
                </c:pt>
                <c:pt idx="8">
                  <c:v>106</c:v>
                </c:pt>
                <c:pt idx="9">
                  <c:v>393</c:v>
                </c:pt>
                <c:pt idx="10">
                  <c:v>513</c:v>
                </c:pt>
                <c:pt idx="11">
                  <c:v>863</c:v>
                </c:pt>
                <c:pt idx="12">
                  <c:v>1057</c:v>
                </c:pt>
                <c:pt idx="13">
                  <c:v>900</c:v>
                </c:pt>
                <c:pt idx="14">
                  <c:v>690</c:v>
                </c:pt>
                <c:pt idx="15">
                  <c:v>461</c:v>
                </c:pt>
                <c:pt idx="16">
                  <c:v>213</c:v>
                </c:pt>
                <c:pt idx="17">
                  <c:v>126</c:v>
                </c:pt>
                <c:pt idx="18">
                  <c:v>8</c:v>
                </c:pt>
              </c:numCache>
            </c:numRef>
          </c:val>
        </c:ser>
        <c:marker val="1"/>
        <c:axId val="110559616"/>
        <c:axId val="110568192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Elec!$G$10:$G$28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49</c:v>
                </c:pt>
                <c:pt idx="5">
                  <c:v>102</c:v>
                </c:pt>
                <c:pt idx="6">
                  <c:v>275</c:v>
                </c:pt>
                <c:pt idx="7">
                  <c:v>175</c:v>
                </c:pt>
                <c:pt idx="8">
                  <c:v>86</c:v>
                </c:pt>
                <c:pt idx="9">
                  <c:v>15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22</c:v>
                </c:pt>
                <c:pt idx="16">
                  <c:v>54</c:v>
                </c:pt>
                <c:pt idx="17">
                  <c:v>118</c:v>
                </c:pt>
                <c:pt idx="18">
                  <c:v>269</c:v>
                </c:pt>
              </c:numCache>
            </c:numRef>
          </c:val>
        </c:ser>
        <c:marker val="1"/>
        <c:axId val="110684032"/>
        <c:axId val="110570880"/>
      </c:lineChart>
      <c:dateAx>
        <c:axId val="110559616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10568192"/>
        <c:crosses val="autoZero"/>
        <c:auto val="1"/>
        <c:lblOffset val="100"/>
        <c:baseTimeUnit val="months"/>
      </c:dateAx>
      <c:valAx>
        <c:axId val="110568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0.00" sourceLinked="1"/>
        <c:tickLblPos val="nextTo"/>
        <c:crossAx val="110559616"/>
        <c:crosses val="autoZero"/>
        <c:crossBetween val="between"/>
        <c:majorUnit val="200"/>
      </c:valAx>
      <c:valAx>
        <c:axId val="110570880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layout/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10684032"/>
        <c:crosses val="max"/>
        <c:crossBetween val="between"/>
        <c:majorUnit val="20"/>
      </c:valAx>
      <c:dateAx>
        <c:axId val="110684032"/>
        <c:scaling>
          <c:orientation val="minMax"/>
        </c:scaling>
        <c:delete val="1"/>
        <c:axPos val="b"/>
        <c:numFmt formatCode="mmm-yy" sourceLinked="1"/>
        <c:tickLblPos val="none"/>
        <c:crossAx val="110570880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53"/>
          <c:y val="0.82399778974995941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54396325459316"/>
          <c:y val="4.6770924467774859E-2"/>
          <c:w val="0.7417454068241488"/>
          <c:h val="0.64060841353164344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Use'!$J$18:$J$29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Use'!$AD$18:$AD$29</c:f>
              <c:numCache>
                <c:formatCode>0.00</c:formatCode>
                <c:ptCount val="12"/>
                <c:pt idx="0">
                  <c:v>2.3282635198000001</c:v>
                </c:pt>
                <c:pt idx="1">
                  <c:v>8.6626105193999994</c:v>
                </c:pt>
                <c:pt idx="2">
                  <c:v>8.492516482200001</c:v>
                </c:pt>
                <c:pt idx="3">
                  <c:v>10.550189059400001</c:v>
                </c:pt>
                <c:pt idx="4">
                  <c:v>12.456021362200001</c:v>
                </c:pt>
                <c:pt idx="5">
                  <c:v>15.0975521022</c:v>
                </c:pt>
                <c:pt idx="6">
                  <c:v>12.664457990800001</c:v>
                </c:pt>
                <c:pt idx="7">
                  <c:v>10.149486662199999</c:v>
                </c:pt>
                <c:pt idx="8">
                  <c:v>6.7199839394000005</c:v>
                </c:pt>
                <c:pt idx="9">
                  <c:v>7.1558058021999988</c:v>
                </c:pt>
                <c:pt idx="10">
                  <c:v>6.2159456593999991</c:v>
                </c:pt>
                <c:pt idx="11">
                  <c:v>7.6372253449999992</c:v>
                </c:pt>
              </c:numCache>
            </c:numRef>
          </c:val>
        </c:ser>
        <c:ser>
          <c:idx val="3"/>
          <c:order val="3"/>
          <c:tx>
            <c:v>Source MMBtu w/ PV credit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'Energy Use'!$AC$18:$AC$29</c:f>
              <c:numCache>
                <c:formatCode>0.00</c:formatCode>
                <c:ptCount val="12"/>
                <c:pt idx="0">
                  <c:v>1.60397509</c:v>
                </c:pt>
                <c:pt idx="1">
                  <c:v>5.9466686699999984</c:v>
                </c:pt>
                <c:pt idx="2">
                  <c:v>5.6860086299999999</c:v>
                </c:pt>
                <c:pt idx="3">
                  <c:v>7.8342472099999991</c:v>
                </c:pt>
                <c:pt idx="4">
                  <c:v>9.6495135100000002</c:v>
                </c:pt>
                <c:pt idx="5">
                  <c:v>12.291044249999999</c:v>
                </c:pt>
                <c:pt idx="6">
                  <c:v>10.039002279999998</c:v>
                </c:pt>
                <c:pt idx="7">
                  <c:v>7.34297881</c:v>
                </c:pt>
                <c:pt idx="8">
                  <c:v>4.0040420900000004</c:v>
                </c:pt>
                <c:pt idx="9">
                  <c:v>4.3492979500000004</c:v>
                </c:pt>
                <c:pt idx="10">
                  <c:v>3.5000038099999999</c:v>
                </c:pt>
                <c:pt idx="11">
                  <c:v>4.46861321</c:v>
                </c:pt>
              </c:numCache>
            </c:numRef>
          </c:val>
        </c:ser>
        <c:axId val="122458496"/>
        <c:axId val="122460800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HDD!$B$20:$B$31</c:f>
              <c:numCache>
                <c:formatCode>General</c:formatCode>
                <c:ptCount val="12"/>
                <c:pt idx="0">
                  <c:v>22</c:v>
                </c:pt>
                <c:pt idx="1">
                  <c:v>106</c:v>
                </c:pt>
                <c:pt idx="2">
                  <c:v>393</c:v>
                </c:pt>
                <c:pt idx="3">
                  <c:v>513</c:v>
                </c:pt>
                <c:pt idx="4">
                  <c:v>863</c:v>
                </c:pt>
                <c:pt idx="5">
                  <c:v>1057</c:v>
                </c:pt>
                <c:pt idx="6">
                  <c:v>900</c:v>
                </c:pt>
                <c:pt idx="7">
                  <c:v>690</c:v>
                </c:pt>
                <c:pt idx="8">
                  <c:v>461</c:v>
                </c:pt>
                <c:pt idx="9">
                  <c:v>213</c:v>
                </c:pt>
                <c:pt idx="10">
                  <c:v>126</c:v>
                </c:pt>
                <c:pt idx="11">
                  <c:v>8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CDD!$B$20:$B$31</c:f>
              <c:numCache>
                <c:formatCode>General</c:formatCode>
                <c:ptCount val="12"/>
                <c:pt idx="0">
                  <c:v>175</c:v>
                </c:pt>
                <c:pt idx="1">
                  <c:v>86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22</c:v>
                </c:pt>
                <c:pt idx="9">
                  <c:v>54</c:v>
                </c:pt>
                <c:pt idx="10">
                  <c:v>118</c:v>
                </c:pt>
                <c:pt idx="11">
                  <c:v>269</c:v>
                </c:pt>
              </c:numCache>
            </c:numRef>
          </c:val>
        </c:ser>
        <c:marker val="1"/>
        <c:axId val="123824384"/>
        <c:axId val="123822464"/>
      </c:lineChart>
      <c:dateAx>
        <c:axId val="122458496"/>
        <c:scaling>
          <c:orientation val="minMax"/>
        </c:scaling>
        <c:axPos val="b"/>
        <c:numFmt formatCode="mmm-yy" sourceLinked="1"/>
        <c:tickLblPos val="nextTo"/>
        <c:crossAx val="122460800"/>
        <c:crosses val="autoZero"/>
        <c:auto val="1"/>
        <c:lblOffset val="100"/>
      </c:dateAx>
      <c:valAx>
        <c:axId val="122460800"/>
        <c:scaling>
          <c:orientation val="minMax"/>
        </c:scaling>
        <c:axPos val="l"/>
        <c:majorGridlines/>
        <c:numFmt formatCode="0" sourceLinked="0"/>
        <c:tickLblPos val="nextTo"/>
        <c:crossAx val="122458496"/>
        <c:crosses val="autoZero"/>
        <c:crossBetween val="between"/>
      </c:valAx>
      <c:valAx>
        <c:axId val="123822464"/>
        <c:scaling>
          <c:orientation val="minMax"/>
        </c:scaling>
        <c:axPos val="r"/>
        <c:numFmt formatCode="General" sourceLinked="1"/>
        <c:tickLblPos val="nextTo"/>
        <c:crossAx val="123824384"/>
        <c:crosses val="max"/>
        <c:crossBetween val="between"/>
      </c:valAx>
      <c:catAx>
        <c:axId val="123824384"/>
        <c:scaling>
          <c:orientation val="minMax"/>
        </c:scaling>
        <c:delete val="1"/>
        <c:axPos val="b"/>
        <c:tickLblPos val="none"/>
        <c:crossAx val="12382246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'Weather Lin Regr Analysis'!$G$9:$G$20</c:f>
              <c:numCache>
                <c:formatCode>General</c:formatCode>
                <c:ptCount val="12"/>
                <c:pt idx="0">
                  <c:v>22</c:v>
                </c:pt>
                <c:pt idx="1">
                  <c:v>106</c:v>
                </c:pt>
                <c:pt idx="2">
                  <c:v>393</c:v>
                </c:pt>
                <c:pt idx="3">
                  <c:v>513</c:v>
                </c:pt>
                <c:pt idx="4">
                  <c:v>863</c:v>
                </c:pt>
                <c:pt idx="5">
                  <c:v>1057</c:v>
                </c:pt>
                <c:pt idx="6">
                  <c:v>900</c:v>
                </c:pt>
                <c:pt idx="7">
                  <c:v>690</c:v>
                </c:pt>
                <c:pt idx="8">
                  <c:v>461</c:v>
                </c:pt>
                <c:pt idx="9">
                  <c:v>213</c:v>
                </c:pt>
                <c:pt idx="10">
                  <c:v>126</c:v>
                </c:pt>
                <c:pt idx="11">
                  <c:v>8</c:v>
                </c:pt>
              </c:numCache>
            </c:numRef>
          </c:xVal>
          <c:yVal>
            <c:numRef>
              <c:f>'Weather Lin Regr Analysis'!$E$9:$E$20</c:f>
              <c:numCache>
                <c:formatCode>0.00</c:formatCode>
                <c:ptCount val="12"/>
                <c:pt idx="0">
                  <c:v>0.30000000000000004</c:v>
                </c:pt>
                <c:pt idx="1">
                  <c:v>1</c:v>
                </c:pt>
                <c:pt idx="2">
                  <c:v>1.4000000000000001</c:v>
                </c:pt>
                <c:pt idx="3">
                  <c:v>2.4000000000000004</c:v>
                </c:pt>
                <c:pt idx="4">
                  <c:v>3.4000000000000004</c:v>
                </c:pt>
                <c:pt idx="5">
                  <c:v>6.5</c:v>
                </c:pt>
                <c:pt idx="6">
                  <c:v>5</c:v>
                </c:pt>
                <c:pt idx="7">
                  <c:v>4.3</c:v>
                </c:pt>
                <c:pt idx="8">
                  <c:v>2.4000000000000004</c:v>
                </c:pt>
                <c:pt idx="9">
                  <c:v>1.8</c:v>
                </c:pt>
                <c:pt idx="10">
                  <c:v>1.2000000000000002</c:v>
                </c:pt>
                <c:pt idx="11">
                  <c:v>1.2000000000000002</c:v>
                </c:pt>
              </c:numCache>
            </c:numRef>
          </c:yVal>
        </c:ser>
        <c:axId val="126816640"/>
        <c:axId val="126874368"/>
      </c:scatterChart>
      <c:valAx>
        <c:axId val="126816640"/>
        <c:scaling>
          <c:orientation val="minMax"/>
        </c:scaling>
        <c:axPos val="b"/>
        <c:numFmt formatCode="General" sourceLinked="1"/>
        <c:tickLblPos val="nextTo"/>
        <c:crossAx val="126874368"/>
        <c:crosses val="autoZero"/>
        <c:crossBetween val="midCat"/>
      </c:valAx>
      <c:valAx>
        <c:axId val="126874368"/>
        <c:scaling>
          <c:orientation val="minMax"/>
        </c:scaling>
        <c:axPos val="l"/>
        <c:majorGridlines/>
        <c:numFmt formatCode="0.00" sourceLinked="1"/>
        <c:tickLblPos val="nextTo"/>
        <c:crossAx val="126816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24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41</xdr:row>
      <xdr:rowOff>133350</xdr:rowOff>
    </xdr:from>
    <xdr:to>
      <xdr:col>13</xdr:col>
      <xdr:colOff>371475</xdr:colOff>
      <xdr:row>56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0.00417</cdr:x>
      <cdr:y>0</cdr:y>
    </cdr:from>
    <cdr:to>
      <cdr:x>0.0625</cdr:x>
      <cdr:y>0.74306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66774" y="885825"/>
          <a:ext cx="203835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</a:t>
          </a:r>
          <a:r>
            <a:rPr lang="en-US" sz="1000" b="1" baseline="0"/>
            <a:t> Energy MMBtu (monthly)</a:t>
          </a:r>
          <a:endParaRPr lang="en-US" sz="1000" b="1"/>
        </a:p>
      </cdr:txBody>
    </cdr:sp>
  </cdr:relSizeAnchor>
  <cdr:relSizeAnchor xmlns:cdr="http://schemas.openxmlformats.org/drawingml/2006/chartDrawing">
    <cdr:from>
      <cdr:x>0.95</cdr:x>
      <cdr:y>0</cdr:y>
    </cdr:from>
    <cdr:to>
      <cdr:x>0.99583</cdr:x>
      <cdr:y>0.52431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729040" y="614363"/>
          <a:ext cx="1438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11</xdr:col>
      <xdr:colOff>304800</xdr:colOff>
      <xdr:row>39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Y29"/>
  <sheetViews>
    <sheetView workbookViewId="0">
      <selection activeCell="X28" sqref="X28"/>
    </sheetView>
  </sheetViews>
  <sheetFormatPr defaultRowHeight="15"/>
  <cols>
    <col min="1" max="16384" width="9.140625" style="9"/>
  </cols>
  <sheetData>
    <row r="4" spans="1:3">
      <c r="A4" s="9" t="s">
        <v>47</v>
      </c>
    </row>
    <row r="5" spans="1:3">
      <c r="A5" s="9" t="s">
        <v>48</v>
      </c>
    </row>
    <row r="7" spans="1:3">
      <c r="A7" s="9" t="s">
        <v>49</v>
      </c>
    </row>
    <row r="9" spans="1:3">
      <c r="A9" s="21" t="s">
        <v>41</v>
      </c>
      <c r="B9" s="22"/>
      <c r="C9" s="23"/>
    </row>
    <row r="10" spans="1:3">
      <c r="A10" s="24"/>
      <c r="B10" s="25"/>
      <c r="C10" s="26"/>
    </row>
    <row r="11" spans="1:3">
      <c r="A11" s="24" t="s">
        <v>42</v>
      </c>
      <c r="B11" s="25"/>
      <c r="C11" s="26" t="s">
        <v>43</v>
      </c>
    </row>
    <row r="12" spans="1:3">
      <c r="A12" s="24"/>
      <c r="B12" s="25"/>
      <c r="C12" s="26">
        <v>8086</v>
      </c>
    </row>
    <row r="13" spans="1:3">
      <c r="A13" s="24" t="s">
        <v>44</v>
      </c>
      <c r="B13" s="25"/>
      <c r="C13" s="26" t="s">
        <v>0</v>
      </c>
    </row>
    <row r="14" spans="1:3">
      <c r="A14" s="24" t="s">
        <v>50</v>
      </c>
      <c r="B14" s="25"/>
      <c r="C14" s="26">
        <v>903</v>
      </c>
    </row>
    <row r="15" spans="1:3">
      <c r="A15" s="24" t="s">
        <v>45</v>
      </c>
      <c r="B15" s="25"/>
      <c r="C15" s="26" t="s">
        <v>46</v>
      </c>
    </row>
    <row r="16" spans="1:3">
      <c r="A16" s="27"/>
      <c r="B16" s="28"/>
      <c r="C16" s="29">
        <v>0</v>
      </c>
    </row>
    <row r="18" spans="1:25">
      <c r="B18" s="1"/>
    </row>
    <row r="19" spans="1:25">
      <c r="C19" s="9" t="s">
        <v>25</v>
      </c>
      <c r="E19" s="15">
        <f>1/E21</f>
        <v>292.99736302373282</v>
      </c>
    </row>
    <row r="20" spans="1:25">
      <c r="C20" s="9" t="s">
        <v>22</v>
      </c>
      <c r="E20" s="13">
        <f>100000/1000000</f>
        <v>0.1</v>
      </c>
    </row>
    <row r="21" spans="1:25">
      <c r="C21" s="9" t="s">
        <v>21</v>
      </c>
      <c r="E21" s="9">
        <f>3413/1000000</f>
        <v>3.4129999999999998E-3</v>
      </c>
    </row>
    <row r="22" spans="1:25">
      <c r="B22" s="9" t="s">
        <v>24</v>
      </c>
      <c r="E22" s="9">
        <v>3.34</v>
      </c>
    </row>
    <row r="23" spans="1:25">
      <c r="B23" s="9" t="s">
        <v>23</v>
      </c>
      <c r="E23" s="9">
        <v>1.0469999999999999</v>
      </c>
    </row>
    <row r="24" spans="1:25">
      <c r="A24" s="21"/>
      <c r="B24" s="22"/>
      <c r="C24" s="22"/>
      <c r="D24" s="22"/>
      <c r="E24" s="22"/>
      <c r="F24" s="22"/>
      <c r="G24" s="22"/>
      <c r="H24" s="22"/>
      <c r="I24" s="22"/>
      <c r="J24" s="43"/>
      <c r="K24" s="43"/>
      <c r="L24" s="43"/>
      <c r="M24" s="43"/>
      <c r="N24" s="43"/>
      <c r="O24" s="22"/>
      <c r="P24" s="22"/>
      <c r="Q24" s="22"/>
      <c r="R24" s="22"/>
      <c r="S24" s="22"/>
      <c r="T24" s="22" t="s">
        <v>28</v>
      </c>
      <c r="U24" s="22"/>
      <c r="V24" s="22"/>
      <c r="W24" s="22" t="s">
        <v>31</v>
      </c>
      <c r="X24" s="22"/>
      <c r="Y24" s="23"/>
    </row>
    <row r="25" spans="1:25">
      <c r="A25" s="24"/>
      <c r="B25" s="25"/>
      <c r="C25" s="25"/>
      <c r="D25" s="25"/>
      <c r="E25" s="25"/>
      <c r="F25" s="25"/>
      <c r="G25" s="25"/>
      <c r="H25" s="25"/>
      <c r="I25" s="25"/>
      <c r="J25" s="20"/>
      <c r="K25" s="72" t="s">
        <v>2</v>
      </c>
      <c r="L25" s="72"/>
      <c r="M25" s="25" t="s">
        <v>27</v>
      </c>
      <c r="N25" s="25"/>
      <c r="O25" s="25" t="s">
        <v>18</v>
      </c>
      <c r="P25" s="25" t="s">
        <v>19</v>
      </c>
      <c r="Q25" s="25"/>
      <c r="R25" s="25"/>
      <c r="S25" s="25"/>
      <c r="T25" s="25"/>
      <c r="U25" s="25"/>
      <c r="V25" s="25"/>
      <c r="W25" s="25"/>
      <c r="X25" s="25"/>
      <c r="Y25" s="26"/>
    </row>
    <row r="26" spans="1:25">
      <c r="A26" s="24" t="s">
        <v>56</v>
      </c>
      <c r="B26" s="25"/>
      <c r="C26" s="25" t="s">
        <v>0</v>
      </c>
      <c r="D26" s="25" t="s">
        <v>18</v>
      </c>
      <c r="E26" s="25" t="s">
        <v>19</v>
      </c>
      <c r="F26" s="25"/>
      <c r="G26" s="25" t="s">
        <v>17</v>
      </c>
      <c r="H26" s="25" t="s">
        <v>20</v>
      </c>
      <c r="I26" s="25"/>
      <c r="J26" s="20"/>
      <c r="K26" s="19" t="s">
        <v>26</v>
      </c>
      <c r="L26" s="19"/>
      <c r="M26" s="25"/>
      <c r="N26" s="25"/>
      <c r="O26" s="25"/>
      <c r="P26" s="25"/>
      <c r="Q26" s="25" t="s">
        <v>1</v>
      </c>
      <c r="R26" s="25" t="s">
        <v>5</v>
      </c>
      <c r="S26" s="25"/>
      <c r="T26" s="25" t="s">
        <v>29</v>
      </c>
      <c r="U26" s="25" t="s">
        <v>30</v>
      </c>
      <c r="V26" s="25"/>
      <c r="W26" s="25" t="s">
        <v>29</v>
      </c>
      <c r="X26" s="25" t="s">
        <v>30</v>
      </c>
      <c r="Y26" s="26"/>
    </row>
    <row r="27" spans="1:25">
      <c r="A27" s="24"/>
      <c r="B27" s="25"/>
      <c r="C27" s="25"/>
      <c r="D27" s="25"/>
      <c r="E27" s="25"/>
      <c r="F27" s="25"/>
      <c r="G27" s="25"/>
      <c r="H27" s="25"/>
      <c r="I27" s="25"/>
      <c r="J27" s="42"/>
      <c r="K27" s="20"/>
      <c r="L27" s="20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6"/>
    </row>
    <row r="28" spans="1:25">
      <c r="A28" s="24" t="s">
        <v>57</v>
      </c>
      <c r="B28" s="44"/>
      <c r="C28" s="20">
        <f>C14</f>
        <v>903</v>
      </c>
      <c r="D28" s="41">
        <f>C28*E$20</f>
        <v>90.300000000000011</v>
      </c>
      <c r="E28" s="36">
        <f>D28*E$23</f>
        <v>94.5441</v>
      </c>
      <c r="F28" s="25"/>
      <c r="G28" s="36">
        <f>D28*E$19</f>
        <v>26457.661881043077</v>
      </c>
      <c r="H28" s="36">
        <f>E28*E$19</f>
        <v>27701.171989452097</v>
      </c>
      <c r="I28" s="36"/>
      <c r="J28" s="42"/>
      <c r="K28" s="19">
        <f>C12</f>
        <v>8086</v>
      </c>
      <c r="L28" s="19"/>
      <c r="M28" s="36">
        <f>K28*E$22</f>
        <v>27007.239999999998</v>
      </c>
      <c r="N28" s="25"/>
      <c r="O28" s="36">
        <f>K28*E$21</f>
        <v>27.597517999999997</v>
      </c>
      <c r="P28" s="36">
        <f>M28*E$21</f>
        <v>92.175710119999991</v>
      </c>
      <c r="Q28" s="25"/>
      <c r="R28" s="25"/>
      <c r="S28" s="25"/>
      <c r="T28" s="36">
        <f>G28+K28</f>
        <v>34543.661881043081</v>
      </c>
      <c r="U28" s="36">
        <f>H28+M28</f>
        <v>54708.411989452099</v>
      </c>
      <c r="V28" s="36"/>
      <c r="W28" s="36">
        <f>D28+O28</f>
        <v>117.89751800000001</v>
      </c>
      <c r="X28" s="36">
        <f>E28+P28</f>
        <v>186.71981011999998</v>
      </c>
      <c r="Y28" s="26"/>
    </row>
    <row r="29" spans="1:25">
      <c r="A29" s="27"/>
      <c r="B29" s="28"/>
      <c r="C29" s="28"/>
      <c r="D29" s="28"/>
      <c r="E29" s="28"/>
      <c r="F29" s="28"/>
      <c r="G29" s="28"/>
      <c r="H29" s="28"/>
      <c r="I29" s="28"/>
      <c r="J29" s="45"/>
      <c r="K29" s="45"/>
      <c r="L29" s="45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</row>
  </sheetData>
  <mergeCells count="1">
    <mergeCell ref="K25:L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T30"/>
  <sheetViews>
    <sheetView workbookViewId="0">
      <selection activeCell="A10" sqref="A10"/>
    </sheetView>
  </sheetViews>
  <sheetFormatPr defaultRowHeight="15"/>
  <cols>
    <col min="17" max="17" width="10.42578125" customWidth="1"/>
    <col min="18" max="18" width="10.140625" customWidth="1"/>
  </cols>
  <sheetData>
    <row r="2" spans="1:20">
      <c r="B2" s="9" t="s">
        <v>38</v>
      </c>
      <c r="E2" s="11"/>
      <c r="Q2" s="30">
        <v>40478</v>
      </c>
      <c r="R2" s="30">
        <v>40505</v>
      </c>
      <c r="S2" s="31">
        <v>27</v>
      </c>
      <c r="T2" s="31">
        <v>13</v>
      </c>
    </row>
    <row r="3" spans="1:20">
      <c r="Q3" s="30">
        <v>40505</v>
      </c>
      <c r="R3" s="30">
        <v>40534</v>
      </c>
      <c r="S3" s="31">
        <v>29</v>
      </c>
      <c r="T3" s="31">
        <v>38</v>
      </c>
    </row>
    <row r="4" spans="1:20">
      <c r="D4" s="9" t="s">
        <v>37</v>
      </c>
      <c r="Q4" s="30">
        <v>40534</v>
      </c>
      <c r="R4" s="30">
        <v>40568</v>
      </c>
      <c r="S4" s="31">
        <v>34</v>
      </c>
      <c r="T4" s="31">
        <v>55</v>
      </c>
    </row>
    <row r="5" spans="1:20">
      <c r="C5" t="s">
        <v>0</v>
      </c>
      <c r="D5" t="s">
        <v>1</v>
      </c>
      <c r="Q5" s="30">
        <v>40568</v>
      </c>
      <c r="R5" s="30">
        <v>40597</v>
      </c>
      <c r="S5" s="31">
        <v>29</v>
      </c>
      <c r="T5" s="31">
        <v>46</v>
      </c>
    </row>
    <row r="6" spans="1:20" s="9" customFormat="1">
      <c r="Q6" s="30">
        <v>40597</v>
      </c>
      <c r="R6" s="30">
        <v>40626</v>
      </c>
      <c r="S6" s="31">
        <v>29</v>
      </c>
      <c r="T6" s="31">
        <v>34</v>
      </c>
    </row>
    <row r="7" spans="1:20" s="9" customFormat="1">
      <c r="A7" s="1">
        <v>40452</v>
      </c>
      <c r="D7" s="4">
        <f>HDD!B10</f>
        <v>415</v>
      </c>
      <c r="Q7" s="30">
        <v>40626</v>
      </c>
      <c r="R7" s="30">
        <v>40659</v>
      </c>
      <c r="S7" s="31">
        <v>33</v>
      </c>
      <c r="T7" s="31">
        <v>29</v>
      </c>
    </row>
    <row r="8" spans="1:20" s="9" customFormat="1">
      <c r="A8" s="1">
        <v>40483</v>
      </c>
      <c r="C8" s="9">
        <v>13</v>
      </c>
      <c r="D8" s="4">
        <f>HDD!B11</f>
        <v>697</v>
      </c>
      <c r="Q8" s="30">
        <v>40659</v>
      </c>
      <c r="R8" s="30">
        <v>40687</v>
      </c>
      <c r="S8" s="31">
        <v>28</v>
      </c>
      <c r="T8" s="31">
        <v>18</v>
      </c>
    </row>
    <row r="9" spans="1:20">
      <c r="A9" s="1">
        <v>40513</v>
      </c>
      <c r="B9" s="2"/>
      <c r="C9" s="9">
        <v>38</v>
      </c>
      <c r="D9" s="4">
        <f>HDD!B12</f>
        <v>1122</v>
      </c>
      <c r="E9" s="9" t="s">
        <v>52</v>
      </c>
      <c r="Q9" s="30">
        <v>40687</v>
      </c>
      <c r="R9" s="30">
        <v>40717</v>
      </c>
      <c r="S9" s="31">
        <v>30</v>
      </c>
      <c r="T9" s="31">
        <v>9</v>
      </c>
    </row>
    <row r="10" spans="1:20">
      <c r="A10" s="1">
        <v>40544</v>
      </c>
      <c r="B10" s="2"/>
      <c r="C10" s="3">
        <v>55</v>
      </c>
      <c r="D10" s="4">
        <f>HDD!B13</f>
        <v>1261</v>
      </c>
      <c r="Q10" s="30">
        <v>40717</v>
      </c>
      <c r="R10" s="30">
        <v>40752</v>
      </c>
      <c r="S10" s="31">
        <v>35</v>
      </c>
      <c r="T10" s="31">
        <v>3</v>
      </c>
    </row>
    <row r="11" spans="1:20">
      <c r="A11" s="1">
        <v>40575</v>
      </c>
      <c r="B11" s="2"/>
      <c r="C11" s="3">
        <v>46</v>
      </c>
      <c r="D11" s="4">
        <f>HDD!B14</f>
        <v>1042</v>
      </c>
      <c r="Q11" s="30">
        <v>40752</v>
      </c>
      <c r="R11" s="30">
        <v>40780</v>
      </c>
      <c r="S11" s="31">
        <v>28</v>
      </c>
      <c r="T11" s="31">
        <v>3</v>
      </c>
    </row>
    <row r="12" spans="1:20">
      <c r="A12" s="1">
        <v>40603</v>
      </c>
      <c r="B12" s="2"/>
      <c r="C12" s="3">
        <v>34</v>
      </c>
      <c r="D12" s="4">
        <f>HDD!B15</f>
        <v>906</v>
      </c>
      <c r="Q12" s="30">
        <v>40780</v>
      </c>
      <c r="R12" s="30">
        <v>40809</v>
      </c>
      <c r="S12" s="31">
        <v>29</v>
      </c>
      <c r="T12" s="31">
        <v>10</v>
      </c>
    </row>
    <row r="13" spans="1:20">
      <c r="A13" s="1">
        <v>40634</v>
      </c>
      <c r="B13" s="2"/>
      <c r="C13" s="3">
        <v>29</v>
      </c>
      <c r="D13" s="4">
        <f>HDD!B16</f>
        <v>533</v>
      </c>
      <c r="Q13" s="30">
        <v>40809</v>
      </c>
      <c r="R13" s="30">
        <v>40841</v>
      </c>
      <c r="S13" s="31">
        <v>32</v>
      </c>
      <c r="T13" s="31">
        <v>14</v>
      </c>
    </row>
    <row r="14" spans="1:20">
      <c r="A14" s="1">
        <v>40664</v>
      </c>
      <c r="B14" s="2"/>
      <c r="C14" s="3">
        <v>18</v>
      </c>
      <c r="D14" s="4">
        <f>HDD!B17</f>
        <v>310</v>
      </c>
      <c r="Q14" s="30">
        <v>40841</v>
      </c>
      <c r="R14" s="30">
        <v>40870</v>
      </c>
      <c r="S14" s="31">
        <v>29</v>
      </c>
      <c r="T14" s="31">
        <v>24</v>
      </c>
    </row>
    <row r="15" spans="1:20">
      <c r="A15" s="1">
        <v>40695</v>
      </c>
      <c r="B15" s="2"/>
      <c r="C15" s="3">
        <v>9</v>
      </c>
      <c r="D15" s="4">
        <f>HDD!B18</f>
        <v>117</v>
      </c>
      <c r="Q15" s="30">
        <v>40870</v>
      </c>
      <c r="R15" s="30">
        <v>40900</v>
      </c>
      <c r="S15" s="31">
        <v>30</v>
      </c>
      <c r="T15" s="31">
        <v>34</v>
      </c>
    </row>
    <row r="16" spans="1:20">
      <c r="A16" s="1">
        <v>40735</v>
      </c>
      <c r="B16" s="4"/>
      <c r="C16" s="3">
        <v>3</v>
      </c>
      <c r="D16" s="4">
        <f>HDD!B19</f>
        <v>11</v>
      </c>
      <c r="Q16" s="30">
        <v>40900</v>
      </c>
      <c r="R16" s="30">
        <v>40933</v>
      </c>
      <c r="S16" s="31">
        <v>33</v>
      </c>
      <c r="T16" s="31">
        <v>65</v>
      </c>
    </row>
    <row r="17" spans="1:20">
      <c r="A17" s="1">
        <v>40766</v>
      </c>
      <c r="B17" s="4"/>
      <c r="C17" s="3">
        <v>3</v>
      </c>
      <c r="D17" s="4">
        <f>HDD!B20</f>
        <v>22</v>
      </c>
      <c r="Q17" s="30">
        <v>40933</v>
      </c>
      <c r="R17" s="30">
        <v>40962</v>
      </c>
      <c r="S17" s="31">
        <v>29</v>
      </c>
      <c r="T17" s="31">
        <v>50</v>
      </c>
    </row>
    <row r="18" spans="1:20">
      <c r="A18" s="1">
        <v>40797</v>
      </c>
      <c r="B18" s="4"/>
      <c r="C18" s="3">
        <v>10</v>
      </c>
      <c r="D18" s="4">
        <f>HDD!B21</f>
        <v>106</v>
      </c>
      <c r="E18" s="9" t="s">
        <v>51</v>
      </c>
      <c r="Q18" s="30">
        <v>40962</v>
      </c>
      <c r="R18" s="30">
        <v>40995</v>
      </c>
      <c r="S18" s="31">
        <v>33</v>
      </c>
      <c r="T18" s="31">
        <v>43</v>
      </c>
    </row>
    <row r="19" spans="1:20">
      <c r="A19" s="1">
        <v>40827</v>
      </c>
      <c r="B19" s="4"/>
      <c r="C19" s="3">
        <v>14</v>
      </c>
      <c r="D19" s="4">
        <f>HDD!B22</f>
        <v>393</v>
      </c>
      <c r="Q19" s="30">
        <v>40995</v>
      </c>
      <c r="R19" s="30">
        <v>41024</v>
      </c>
      <c r="S19" s="31">
        <v>29</v>
      </c>
      <c r="T19" s="31">
        <v>24</v>
      </c>
    </row>
    <row r="20" spans="1:20">
      <c r="A20" s="1">
        <v>40858</v>
      </c>
      <c r="B20" s="4"/>
      <c r="C20" s="3">
        <v>24</v>
      </c>
      <c r="D20" s="4">
        <f>HDD!B23</f>
        <v>513</v>
      </c>
      <c r="Q20" s="30">
        <v>41024</v>
      </c>
      <c r="R20" s="30">
        <v>41057</v>
      </c>
      <c r="S20" s="31">
        <v>33</v>
      </c>
      <c r="T20" s="31">
        <v>18</v>
      </c>
    </row>
    <row r="21" spans="1:20">
      <c r="A21" s="1">
        <v>40888</v>
      </c>
      <c r="B21" s="4"/>
      <c r="C21" s="3">
        <v>34</v>
      </c>
      <c r="D21" s="4">
        <f>HDD!B24</f>
        <v>863</v>
      </c>
      <c r="Q21" s="30">
        <v>41057</v>
      </c>
      <c r="R21" s="30">
        <v>41085</v>
      </c>
      <c r="S21" s="31">
        <v>28</v>
      </c>
      <c r="T21" s="31">
        <v>12</v>
      </c>
    </row>
    <row r="22" spans="1:20">
      <c r="A22" s="1">
        <v>40920</v>
      </c>
      <c r="B22" s="4"/>
      <c r="C22" s="3">
        <v>65</v>
      </c>
      <c r="D22" s="4">
        <f>HDD!B25</f>
        <v>1057</v>
      </c>
      <c r="Q22" s="30">
        <v>41085</v>
      </c>
      <c r="R22" s="30">
        <v>41116</v>
      </c>
      <c r="S22" s="31">
        <v>31</v>
      </c>
      <c r="T22" s="31">
        <v>12</v>
      </c>
    </row>
    <row r="23" spans="1:20">
      <c r="A23" s="1">
        <v>40940</v>
      </c>
      <c r="B23" s="4"/>
      <c r="C23" s="3">
        <v>50</v>
      </c>
      <c r="D23" s="4">
        <f>HDD!B26</f>
        <v>900</v>
      </c>
      <c r="Q23" s="30">
        <v>41116</v>
      </c>
      <c r="R23" s="30">
        <v>41148</v>
      </c>
      <c r="S23" s="31">
        <v>32</v>
      </c>
      <c r="T23" s="31">
        <v>11</v>
      </c>
    </row>
    <row r="24" spans="1:20">
      <c r="A24" s="1">
        <v>40969</v>
      </c>
      <c r="B24" s="4"/>
      <c r="C24" s="3">
        <v>43</v>
      </c>
      <c r="D24" s="4">
        <f>HDD!B27</f>
        <v>690</v>
      </c>
    </row>
    <row r="25" spans="1:20">
      <c r="A25" s="1">
        <v>41000</v>
      </c>
      <c r="B25" s="4"/>
      <c r="C25" s="3">
        <v>24</v>
      </c>
      <c r="D25" s="4">
        <f>HDD!B28</f>
        <v>461</v>
      </c>
    </row>
    <row r="26" spans="1:20">
      <c r="A26" s="1">
        <v>41030</v>
      </c>
      <c r="B26" s="4"/>
      <c r="C26" s="3">
        <v>18</v>
      </c>
      <c r="D26" s="4">
        <f>HDD!B29</f>
        <v>213</v>
      </c>
    </row>
    <row r="27" spans="1:20">
      <c r="A27" s="1">
        <v>41061</v>
      </c>
      <c r="B27" s="4"/>
      <c r="C27" s="3">
        <v>12</v>
      </c>
      <c r="D27" s="4">
        <f>HDD!B30</f>
        <v>126</v>
      </c>
    </row>
    <row r="28" spans="1:20">
      <c r="A28" s="1">
        <v>41091</v>
      </c>
      <c r="B28" s="4"/>
      <c r="C28" s="3">
        <v>12</v>
      </c>
      <c r="D28" s="4">
        <f>HDD!B31</f>
        <v>8</v>
      </c>
    </row>
    <row r="29" spans="1:20">
      <c r="A29" s="1">
        <v>41122</v>
      </c>
      <c r="B29" s="4"/>
      <c r="C29" s="3">
        <v>11</v>
      </c>
      <c r="D29" s="4">
        <f>HDD!B33</f>
        <v>0</v>
      </c>
    </row>
    <row r="30" spans="1:20">
      <c r="B30" s="4"/>
      <c r="C30" s="3">
        <f>B29*1.04</f>
        <v>0</v>
      </c>
      <c r="D30" s="4">
        <f>HDD!B34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58"/>
  <sheetViews>
    <sheetView tabSelected="1" workbookViewId="0">
      <selection activeCell="D7" sqref="D7"/>
    </sheetView>
  </sheetViews>
  <sheetFormatPr defaultRowHeight="15"/>
  <cols>
    <col min="2" max="2" width="9.85546875" customWidth="1"/>
    <col min="4" max="4" width="15.28515625" customWidth="1"/>
    <col min="5" max="5" width="11.42578125" customWidth="1"/>
  </cols>
  <sheetData>
    <row r="2" spans="1:7">
      <c r="B2" s="9"/>
    </row>
    <row r="3" spans="1:7">
      <c r="B3" s="9" t="s">
        <v>39</v>
      </c>
      <c r="E3" s="9" t="s">
        <v>33</v>
      </c>
    </row>
    <row r="4" spans="1:7">
      <c r="B4" s="73" t="s">
        <v>40</v>
      </c>
      <c r="C4" s="73"/>
      <c r="D4" s="9" t="s">
        <v>34</v>
      </c>
      <c r="E4" t="s">
        <v>3</v>
      </c>
    </row>
    <row r="5" spans="1:7">
      <c r="E5" s="9" t="s">
        <v>32</v>
      </c>
      <c r="F5" t="s">
        <v>1</v>
      </c>
      <c r="G5" t="s">
        <v>5</v>
      </c>
    </row>
    <row r="6" spans="1:7">
      <c r="A6" s="1" t="s">
        <v>14</v>
      </c>
      <c r="C6" s="9" t="s">
        <v>83</v>
      </c>
    </row>
    <row r="7" spans="1:7" s="9" customFormat="1">
      <c r="A7" s="1">
        <v>40452</v>
      </c>
      <c r="B7" s="9">
        <v>140</v>
      </c>
      <c r="D7" s="15">
        <f t="shared" ref="D7:D16" si="0">B7+C7-E7</f>
        <v>140</v>
      </c>
      <c r="F7" s="9">
        <f>HDD!B10</f>
        <v>415</v>
      </c>
      <c r="G7" s="9">
        <f>CDD!B10</f>
        <v>11</v>
      </c>
    </row>
    <row r="8" spans="1:7" s="9" customFormat="1">
      <c r="A8" s="1">
        <v>40483</v>
      </c>
      <c r="B8" s="9">
        <v>9</v>
      </c>
      <c r="D8" s="15">
        <f t="shared" si="0"/>
        <v>9</v>
      </c>
      <c r="F8" s="9">
        <f>HDD!B11</f>
        <v>697</v>
      </c>
      <c r="G8" s="9">
        <f>CDD!B11</f>
        <v>0</v>
      </c>
    </row>
    <row r="9" spans="1:7" s="9" customFormat="1">
      <c r="A9" s="1">
        <v>40513</v>
      </c>
      <c r="B9" s="19">
        <v>114</v>
      </c>
      <c r="D9" s="15">
        <f t="shared" si="0"/>
        <v>114</v>
      </c>
      <c r="F9" s="9">
        <f>HDD!B12</f>
        <v>1122</v>
      </c>
      <c r="G9" s="9">
        <f>CDD!B12</f>
        <v>0</v>
      </c>
    </row>
    <row r="10" spans="1:7">
      <c r="A10" s="1">
        <v>40544</v>
      </c>
      <c r="B10" s="19">
        <v>121</v>
      </c>
      <c r="C10" s="16"/>
      <c r="D10" s="15">
        <f t="shared" si="0"/>
        <v>121</v>
      </c>
      <c r="E10" s="16"/>
      <c r="F10" s="9">
        <f>HDD!B13</f>
        <v>1261</v>
      </c>
      <c r="G10" s="9">
        <f>CDD!B13</f>
        <v>0</v>
      </c>
    </row>
    <row r="11" spans="1:7">
      <c r="A11" s="1">
        <v>40575</v>
      </c>
      <c r="B11" s="19">
        <v>43</v>
      </c>
      <c r="C11" s="16"/>
      <c r="D11" s="15">
        <f t="shared" si="0"/>
        <v>43</v>
      </c>
      <c r="E11" s="16"/>
      <c r="F11" s="9">
        <f>HDD!B14</f>
        <v>1042</v>
      </c>
      <c r="G11" s="9">
        <f>CDD!B14</f>
        <v>0</v>
      </c>
    </row>
    <row r="12" spans="1:7">
      <c r="A12" s="1">
        <v>40603</v>
      </c>
      <c r="B12" s="19">
        <v>0</v>
      </c>
      <c r="C12" s="16"/>
      <c r="D12" s="15">
        <f t="shared" si="0"/>
        <v>0</v>
      </c>
      <c r="E12" s="16"/>
      <c r="F12" s="9">
        <f>HDD!B15</f>
        <v>906</v>
      </c>
      <c r="G12" s="9">
        <f>CDD!B15</f>
        <v>0</v>
      </c>
    </row>
    <row r="13" spans="1:7">
      <c r="A13" s="1">
        <v>40634</v>
      </c>
      <c r="B13" s="19">
        <v>0</v>
      </c>
      <c r="C13" s="16"/>
      <c r="D13" s="15">
        <f t="shared" si="0"/>
        <v>0</v>
      </c>
      <c r="E13" s="16"/>
      <c r="F13" s="9">
        <f>HDD!B16</f>
        <v>533</v>
      </c>
      <c r="G13" s="9">
        <f>CDD!B16</f>
        <v>6</v>
      </c>
    </row>
    <row r="14" spans="1:7">
      <c r="A14" s="1">
        <v>40664</v>
      </c>
      <c r="B14" s="19">
        <v>0</v>
      </c>
      <c r="C14" s="16"/>
      <c r="D14" s="15">
        <f t="shared" si="0"/>
        <v>0</v>
      </c>
      <c r="E14" s="16"/>
      <c r="F14" s="9">
        <f>HDD!B17</f>
        <v>310</v>
      </c>
      <c r="G14" s="9">
        <f>CDD!B17</f>
        <v>49</v>
      </c>
    </row>
    <row r="15" spans="1:7">
      <c r="A15" s="1">
        <v>40695</v>
      </c>
      <c r="B15" s="19">
        <v>0</v>
      </c>
      <c r="C15" s="16"/>
      <c r="D15" s="15">
        <f t="shared" si="0"/>
        <v>0</v>
      </c>
      <c r="E15" s="16"/>
      <c r="F15" s="9">
        <f>HDD!B18</f>
        <v>117</v>
      </c>
      <c r="G15" s="9">
        <f>CDD!B18</f>
        <v>102</v>
      </c>
    </row>
    <row r="16" spans="1:7">
      <c r="A16" s="1">
        <v>40725</v>
      </c>
      <c r="B16" s="19">
        <v>0</v>
      </c>
      <c r="C16" s="16"/>
      <c r="D16" s="15">
        <f t="shared" si="0"/>
        <v>0</v>
      </c>
      <c r="E16" s="16"/>
      <c r="F16" s="9">
        <f>HDD!B19</f>
        <v>11</v>
      </c>
      <c r="G16" s="9">
        <f>CDD!B19</f>
        <v>275</v>
      </c>
    </row>
    <row r="17" spans="1:10">
      <c r="A17" s="1">
        <v>40756</v>
      </c>
      <c r="B17" s="19">
        <v>86</v>
      </c>
      <c r="C17" s="16"/>
      <c r="D17" s="15">
        <f>B17+C17-E17</f>
        <v>176.69</v>
      </c>
      <c r="E17" s="16">
        <v>-90.69</v>
      </c>
      <c r="F17" s="9">
        <f>HDD!B20</f>
        <v>22</v>
      </c>
      <c r="G17" s="9">
        <f>CDD!B20</f>
        <v>175</v>
      </c>
    </row>
    <row r="18" spans="1:10">
      <c r="A18" s="1">
        <v>40787</v>
      </c>
      <c r="B18" s="19">
        <v>328</v>
      </c>
      <c r="C18" s="16"/>
      <c r="D18" s="15">
        <f t="shared" ref="D18:D29" si="1">B18+C18-E18</f>
        <v>668.06999999999994</v>
      </c>
      <c r="E18" s="16">
        <v>-340.07</v>
      </c>
      <c r="F18" s="9">
        <f>HDD!B21</f>
        <v>106</v>
      </c>
      <c r="G18" s="9">
        <f>CDD!B21</f>
        <v>86</v>
      </c>
    </row>
    <row r="19" spans="1:10">
      <c r="A19" s="1">
        <v>40817</v>
      </c>
      <c r="B19" s="19">
        <v>265</v>
      </c>
      <c r="C19" s="16"/>
      <c r="D19" s="15">
        <f t="shared" si="1"/>
        <v>616.41000000000008</v>
      </c>
      <c r="E19" s="16">
        <v>-351.41</v>
      </c>
      <c r="F19" s="9">
        <f>HDD!B22</f>
        <v>393</v>
      </c>
      <c r="G19" s="9">
        <f>CDD!B22</f>
        <v>15</v>
      </c>
    </row>
    <row r="20" spans="1:10">
      <c r="A20" s="1">
        <v>40848</v>
      </c>
      <c r="B20" s="19">
        <v>365</v>
      </c>
      <c r="C20" s="16"/>
      <c r="D20" s="15">
        <f t="shared" si="1"/>
        <v>705.06999999999994</v>
      </c>
      <c r="E20" s="16">
        <v>-340.07</v>
      </c>
      <c r="F20" s="9">
        <f>HDD!B23</f>
        <v>513</v>
      </c>
      <c r="G20" s="9">
        <f>CDD!B23</f>
        <v>0</v>
      </c>
    </row>
    <row r="21" spans="1:10">
      <c r="A21" s="1">
        <v>40878</v>
      </c>
      <c r="B21" s="19">
        <v>429</v>
      </c>
      <c r="C21" s="16"/>
      <c r="D21" s="15">
        <f t="shared" si="1"/>
        <v>780.41000000000008</v>
      </c>
      <c r="E21" s="16">
        <v>-351.41</v>
      </c>
      <c r="F21" s="9">
        <f>HDD!B24</f>
        <v>863</v>
      </c>
      <c r="G21" s="9">
        <f>CDD!B24</f>
        <v>0</v>
      </c>
    </row>
    <row r="22" spans="1:10">
      <c r="A22" s="1">
        <v>40909</v>
      </c>
      <c r="B22" s="19">
        <v>376</v>
      </c>
      <c r="C22" s="16"/>
      <c r="D22" s="15">
        <f t="shared" si="1"/>
        <v>727.41000000000008</v>
      </c>
      <c r="E22" s="16">
        <v>-351.41</v>
      </c>
      <c r="F22" s="9">
        <f>HDD!B25</f>
        <v>1057</v>
      </c>
      <c r="G22" s="9">
        <f>CDD!B25</f>
        <v>0</v>
      </c>
    </row>
    <row r="23" spans="1:10">
      <c r="A23" s="1">
        <v>40940</v>
      </c>
      <c r="B23" s="19">
        <v>323</v>
      </c>
      <c r="C23" s="16"/>
      <c r="D23" s="15">
        <f t="shared" si="1"/>
        <v>651.74</v>
      </c>
      <c r="E23" s="16">
        <v>-328.74</v>
      </c>
      <c r="F23" s="9">
        <f>HDD!B26</f>
        <v>900</v>
      </c>
      <c r="G23" s="9">
        <f>CDD!B26</f>
        <v>0</v>
      </c>
    </row>
    <row r="24" spans="1:10">
      <c r="A24" s="1">
        <v>40969</v>
      </c>
      <c r="B24" s="19">
        <v>144</v>
      </c>
      <c r="C24" s="16"/>
      <c r="D24" s="15">
        <f t="shared" si="1"/>
        <v>495.41</v>
      </c>
      <c r="E24" s="16">
        <v>-351.41</v>
      </c>
      <c r="F24" s="9">
        <f>HDD!B27</f>
        <v>690</v>
      </c>
      <c r="G24" s="9">
        <f>CDD!B27</f>
        <v>15</v>
      </c>
    </row>
    <row r="25" spans="1:10">
      <c r="A25" s="1">
        <v>41000</v>
      </c>
      <c r="B25" s="19">
        <v>29</v>
      </c>
      <c r="C25" s="16"/>
      <c r="D25" s="15">
        <f t="shared" si="1"/>
        <v>369.07</v>
      </c>
      <c r="E25" s="16">
        <v>-340.07</v>
      </c>
      <c r="F25" s="9">
        <f>HDD!B28</f>
        <v>461</v>
      </c>
      <c r="G25" s="9">
        <f>CDD!B28</f>
        <v>22</v>
      </c>
    </row>
    <row r="26" spans="1:10">
      <c r="A26" s="1">
        <v>41030</v>
      </c>
      <c r="B26" s="19">
        <v>111</v>
      </c>
      <c r="C26" s="16"/>
      <c r="D26" s="15">
        <f t="shared" si="1"/>
        <v>462.41</v>
      </c>
      <c r="E26" s="16">
        <v>-351.41</v>
      </c>
      <c r="F26" s="9">
        <f>HDD!B29</f>
        <v>213</v>
      </c>
      <c r="G26" s="9">
        <f>CDD!B29</f>
        <v>54</v>
      </c>
    </row>
    <row r="27" spans="1:10">
      <c r="A27" s="1">
        <v>41061</v>
      </c>
      <c r="B27" s="20">
        <v>95</v>
      </c>
      <c r="C27" s="16"/>
      <c r="D27" s="15">
        <f t="shared" si="1"/>
        <v>435.07</v>
      </c>
      <c r="E27" s="18">
        <v>-340.07</v>
      </c>
      <c r="F27" s="9">
        <f>HDD!B30</f>
        <v>126</v>
      </c>
      <c r="G27" s="9">
        <f>CDD!B30</f>
        <v>118</v>
      </c>
    </row>
    <row r="28" spans="1:10">
      <c r="A28" s="1">
        <v>41091</v>
      </c>
      <c r="B28" s="20">
        <v>163</v>
      </c>
      <c r="C28" s="17"/>
      <c r="D28" s="15">
        <f t="shared" si="1"/>
        <v>559.75</v>
      </c>
      <c r="E28" s="17">
        <v>-396.75</v>
      </c>
      <c r="F28" s="9">
        <f>HDD!B31</f>
        <v>8</v>
      </c>
      <c r="G28" s="9">
        <f>CDD!B31</f>
        <v>269</v>
      </c>
    </row>
    <row r="29" spans="1:10">
      <c r="A29" s="1">
        <v>41122</v>
      </c>
      <c r="C29" s="12"/>
      <c r="D29" s="15">
        <f t="shared" si="1"/>
        <v>0</v>
      </c>
      <c r="E29" s="12"/>
      <c r="J29" s="1"/>
    </row>
    <row r="37" spans="2:2">
      <c r="B37" s="9"/>
    </row>
    <row r="38" spans="2:2">
      <c r="B38" s="9"/>
    </row>
    <row r="40" spans="2:2">
      <c r="B40" s="9"/>
    </row>
    <row r="41" spans="2:2">
      <c r="B41" s="9"/>
    </row>
    <row r="42" spans="2:2">
      <c r="B42" s="9"/>
    </row>
    <row r="47" spans="2:2">
      <c r="B47" s="9"/>
    </row>
    <row r="48" spans="2:2">
      <c r="B48" s="9"/>
    </row>
    <row r="49" spans="2:2">
      <c r="B49" s="9"/>
    </row>
    <row r="50" spans="2:2">
      <c r="B50" s="9"/>
    </row>
    <row r="51" spans="2:2">
      <c r="B51" s="9"/>
    </row>
    <row r="52" spans="2:2">
      <c r="B52" s="9"/>
    </row>
    <row r="53" spans="2:2">
      <c r="B53" s="9"/>
    </row>
    <row r="54" spans="2:2">
      <c r="B54" s="9"/>
    </row>
    <row r="55" spans="2:2">
      <c r="B55" s="9"/>
    </row>
    <row r="56" spans="2:2">
      <c r="B56" s="9"/>
    </row>
    <row r="57" spans="2:2">
      <c r="B57" s="9"/>
    </row>
    <row r="58" spans="2:2">
      <c r="B58" s="9"/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3"/>
  <sheetViews>
    <sheetView topLeftCell="H8" workbookViewId="0">
      <selection activeCell="AD11" sqref="AD11"/>
    </sheetView>
  </sheetViews>
  <sheetFormatPr defaultRowHeight="15"/>
  <cols>
    <col min="8" max="9" width="9.140625" style="9"/>
    <col min="15" max="15" width="9.140625" style="9"/>
    <col min="19" max="19" width="9.140625" style="9"/>
    <col min="21" max="21" width="9.140625" style="9"/>
    <col min="27" max="27" width="9.140625" style="9"/>
  </cols>
  <sheetData>
    <row r="1" spans="2:30">
      <c r="C1" s="9" t="s">
        <v>25</v>
      </c>
      <c r="E1" s="15">
        <f>1/E3</f>
        <v>292.99736302373282</v>
      </c>
    </row>
    <row r="2" spans="2:30">
      <c r="C2" s="9" t="s">
        <v>22</v>
      </c>
      <c r="E2" s="13">
        <f>100000/1000000</f>
        <v>0.1</v>
      </c>
    </row>
    <row r="3" spans="2:30">
      <c r="C3" s="9" t="s">
        <v>21</v>
      </c>
      <c r="E3">
        <f>3413/1000000</f>
        <v>3.4129999999999998E-3</v>
      </c>
    </row>
    <row r="4" spans="2:30">
      <c r="B4" s="9" t="s">
        <v>24</v>
      </c>
      <c r="E4">
        <v>3.34</v>
      </c>
    </row>
    <row r="5" spans="2:30">
      <c r="B5" s="9" t="s">
        <v>23</v>
      </c>
      <c r="E5">
        <v>1.0469999999999999</v>
      </c>
    </row>
    <row r="6" spans="2:30">
      <c r="Y6" s="9" t="s">
        <v>28</v>
      </c>
      <c r="AB6" s="9" t="s">
        <v>31</v>
      </c>
    </row>
    <row r="7" spans="2:30">
      <c r="J7" s="9"/>
      <c r="K7" s="73" t="s">
        <v>2</v>
      </c>
      <c r="L7" s="73"/>
      <c r="M7" s="9" t="s">
        <v>26</v>
      </c>
      <c r="N7" s="9"/>
      <c r="P7" s="9"/>
      <c r="Q7" s="9" t="s">
        <v>27</v>
      </c>
      <c r="S7" s="9" t="s">
        <v>18</v>
      </c>
      <c r="T7" s="9" t="s">
        <v>19</v>
      </c>
    </row>
    <row r="8" spans="2:30" s="69" customFormat="1" ht="75">
      <c r="C8" s="69" t="s">
        <v>0</v>
      </c>
      <c r="D8" s="69" t="s">
        <v>18</v>
      </c>
      <c r="E8" s="69" t="s">
        <v>19</v>
      </c>
      <c r="G8" s="69" t="s">
        <v>17</v>
      </c>
      <c r="H8" s="69" t="s">
        <v>20</v>
      </c>
      <c r="L8" s="69" t="s">
        <v>83</v>
      </c>
      <c r="N8" s="69" t="s">
        <v>4</v>
      </c>
      <c r="O8" s="69" t="s">
        <v>84</v>
      </c>
      <c r="P8" s="69" t="s">
        <v>81</v>
      </c>
      <c r="Q8" s="69" t="s">
        <v>85</v>
      </c>
      <c r="R8" s="70" t="s">
        <v>58</v>
      </c>
      <c r="T8" s="69" t="s">
        <v>85</v>
      </c>
      <c r="U8" s="69" t="s">
        <v>58</v>
      </c>
      <c r="V8" s="69" t="s">
        <v>1</v>
      </c>
      <c r="W8" s="69" t="s">
        <v>5</v>
      </c>
      <c r="Y8" s="69" t="s">
        <v>29</v>
      </c>
      <c r="Z8" s="69" t="s">
        <v>30</v>
      </c>
      <c r="AA8" s="70" t="s">
        <v>58</v>
      </c>
      <c r="AB8" s="69" t="s">
        <v>29</v>
      </c>
      <c r="AC8" s="69" t="s">
        <v>30</v>
      </c>
      <c r="AD8" s="70" t="s">
        <v>58</v>
      </c>
    </row>
    <row r="9" spans="2:30">
      <c r="J9" s="1"/>
      <c r="K9" s="9"/>
      <c r="L9" s="9"/>
      <c r="M9" s="9"/>
      <c r="N9" s="9"/>
      <c r="R9" s="46"/>
      <c r="V9" s="9"/>
      <c r="W9" s="9"/>
      <c r="AA9" s="46"/>
      <c r="AD9" s="46"/>
    </row>
    <row r="10" spans="2:30" s="9" customFormat="1">
      <c r="B10" s="9" t="s">
        <v>14</v>
      </c>
      <c r="J10" s="1"/>
      <c r="R10" s="46"/>
      <c r="AA10" s="46"/>
      <c r="AD10" s="46"/>
    </row>
    <row r="11" spans="2:30">
      <c r="B11" s="1">
        <v>40544</v>
      </c>
      <c r="C11" s="3">
        <f>Gas!C10</f>
        <v>55</v>
      </c>
      <c r="D11" s="14">
        <f>C11*E$2</f>
        <v>5.5</v>
      </c>
      <c r="E11" s="15">
        <f t="shared" ref="E11:E31" si="0">D11*E$5</f>
        <v>5.7584999999999997</v>
      </c>
      <c r="G11" s="15">
        <f t="shared" ref="G11:G29" si="1">D11*E$1</f>
        <v>1611.4854966305304</v>
      </c>
      <c r="H11" s="15">
        <f t="shared" ref="H11:H29" si="2">E11*E$1</f>
        <v>1687.2253149721653</v>
      </c>
      <c r="I11" s="15"/>
      <c r="J11" s="1">
        <v>40544</v>
      </c>
      <c r="K11" s="32">
        <f>Elec!B10</f>
        <v>121</v>
      </c>
      <c r="L11" s="16">
        <f>Elec!C10</f>
        <v>0</v>
      </c>
      <c r="M11" s="15">
        <f>K11+L11+O11</f>
        <v>121</v>
      </c>
      <c r="N11" s="16">
        <f>-(Elec!E10)</f>
        <v>0</v>
      </c>
      <c r="O11" s="75">
        <f>N11+L11</f>
        <v>0</v>
      </c>
      <c r="P11" s="15">
        <f t="shared" ref="P11:P17" si="3">M11-O11</f>
        <v>121</v>
      </c>
      <c r="Q11">
        <f>(P11*E$4)+N11</f>
        <v>404.14</v>
      </c>
      <c r="R11" s="47">
        <f>M11*E$4</f>
        <v>404.14</v>
      </c>
      <c r="S11" s="15">
        <f>M11*E$3</f>
        <v>0.41297299999999998</v>
      </c>
      <c r="T11" s="15">
        <f>Q11*E$3</f>
        <v>1.3793298199999999</v>
      </c>
      <c r="U11" s="15">
        <f>R11*$E$3</f>
        <v>1.3793298199999999</v>
      </c>
      <c r="V11" s="9">
        <f>HDD!B14</f>
        <v>1042</v>
      </c>
      <c r="W11" s="9">
        <f>CDD!B14</f>
        <v>0</v>
      </c>
      <c r="Y11" s="15">
        <f>G11+M11</f>
        <v>1732.4854966305304</v>
      </c>
      <c r="Z11" s="15">
        <f>H11+Q11</f>
        <v>2091.3653149721654</v>
      </c>
      <c r="AA11" s="47">
        <f>H11+R11</f>
        <v>2091.3653149721654</v>
      </c>
      <c r="AB11" s="15">
        <f>D11+S11</f>
        <v>5.912973</v>
      </c>
      <c r="AC11" s="15">
        <f>E11+T11</f>
        <v>7.1378298199999994</v>
      </c>
      <c r="AD11" s="47">
        <f t="shared" ref="AD11:AD29" si="4">AA11*E$3</f>
        <v>7.1378298200000003</v>
      </c>
    </row>
    <row r="12" spans="2:30">
      <c r="B12" s="1">
        <v>40575</v>
      </c>
      <c r="C12" s="3">
        <f>Gas!C11</f>
        <v>46</v>
      </c>
      <c r="D12" s="14">
        <f t="shared" ref="D12:D29" si="5">C12*E$2</f>
        <v>4.6000000000000005</v>
      </c>
      <c r="E12" s="15">
        <f t="shared" si="0"/>
        <v>4.8162000000000003</v>
      </c>
      <c r="G12" s="15">
        <f t="shared" si="1"/>
        <v>1347.7878699091711</v>
      </c>
      <c r="H12" s="15">
        <f t="shared" si="2"/>
        <v>1411.1338997949022</v>
      </c>
      <c r="I12" s="15"/>
      <c r="J12" s="1">
        <v>40575</v>
      </c>
      <c r="K12" s="32">
        <f>Elec!B11</f>
        <v>43</v>
      </c>
      <c r="L12" s="16">
        <f>Elec!C11</f>
        <v>0</v>
      </c>
      <c r="M12" s="15">
        <f t="shared" ref="M12:M29" si="6">K12+L12+O12</f>
        <v>43</v>
      </c>
      <c r="N12" s="16">
        <f>-(Elec!E11)</f>
        <v>0</v>
      </c>
      <c r="O12" s="75">
        <f t="shared" ref="O12:O29" si="7">N12+L12</f>
        <v>0</v>
      </c>
      <c r="P12" s="15">
        <f t="shared" si="3"/>
        <v>43</v>
      </c>
      <c r="Q12" s="9">
        <f t="shared" ref="Q12:Q29" si="8">(P12*E$4)+N12</f>
        <v>143.62</v>
      </c>
      <c r="R12" s="47">
        <f t="shared" ref="R12:R29" si="9">M12*E$4</f>
        <v>143.62</v>
      </c>
      <c r="S12" s="15">
        <f t="shared" ref="S12:S29" si="10">M12*E$3</f>
        <v>0.146759</v>
      </c>
      <c r="T12" s="15">
        <f t="shared" ref="T12:T29" si="11">Q12*E$3</f>
        <v>0.49017506</v>
      </c>
      <c r="U12" s="15">
        <f t="shared" ref="U12:U29" si="12">R12*$E$3</f>
        <v>0.49017506</v>
      </c>
      <c r="V12" s="9">
        <f>HDD!B15</f>
        <v>906</v>
      </c>
      <c r="W12" s="9">
        <f>CDD!B15</f>
        <v>0</v>
      </c>
      <c r="Y12" s="15">
        <f t="shared" ref="Y12:Y29" si="13">G12+M12</f>
        <v>1390.7878699091711</v>
      </c>
      <c r="Z12" s="15">
        <f t="shared" ref="Z12:Z29" si="14">H12+Q12</f>
        <v>1554.7538997949023</v>
      </c>
      <c r="AA12" s="47">
        <f t="shared" ref="AA12:AA29" si="15">H12+R12</f>
        <v>1554.7538997949023</v>
      </c>
      <c r="AB12" s="15">
        <f t="shared" ref="AB12:AB31" si="16">D12+S12</f>
        <v>4.7467590000000008</v>
      </c>
      <c r="AC12" s="15">
        <f t="shared" ref="AC12:AC29" si="17">E12+T12</f>
        <v>5.3063750600000006</v>
      </c>
      <c r="AD12" s="47">
        <f t="shared" si="4"/>
        <v>5.3063750600000015</v>
      </c>
    </row>
    <row r="13" spans="2:30">
      <c r="B13" s="1">
        <v>40603</v>
      </c>
      <c r="C13" s="3">
        <f>Gas!C12</f>
        <v>34</v>
      </c>
      <c r="D13" s="14">
        <f t="shared" si="5"/>
        <v>3.4000000000000004</v>
      </c>
      <c r="E13" s="15">
        <f t="shared" si="0"/>
        <v>3.5598000000000001</v>
      </c>
      <c r="G13" s="15">
        <f t="shared" si="1"/>
        <v>996.19103428069172</v>
      </c>
      <c r="H13" s="15">
        <f t="shared" si="2"/>
        <v>1043.0120128918841</v>
      </c>
      <c r="I13" s="15"/>
      <c r="J13" s="1">
        <v>40603</v>
      </c>
      <c r="K13" s="32">
        <f>Elec!B12</f>
        <v>0</v>
      </c>
      <c r="L13" s="16">
        <f>Elec!C12</f>
        <v>0</v>
      </c>
      <c r="M13" s="15">
        <f t="shared" si="6"/>
        <v>0</v>
      </c>
      <c r="N13" s="16">
        <f>-(Elec!E12)</f>
        <v>0</v>
      </c>
      <c r="O13" s="75">
        <f t="shared" si="7"/>
        <v>0</v>
      </c>
      <c r="P13" s="15">
        <f t="shared" si="3"/>
        <v>0</v>
      </c>
      <c r="Q13" s="9">
        <f t="shared" si="8"/>
        <v>0</v>
      </c>
      <c r="R13" s="47">
        <f t="shared" si="9"/>
        <v>0</v>
      </c>
      <c r="S13" s="15">
        <f t="shared" si="10"/>
        <v>0</v>
      </c>
      <c r="T13" s="15">
        <f t="shared" si="11"/>
        <v>0</v>
      </c>
      <c r="U13" s="15">
        <f t="shared" si="12"/>
        <v>0</v>
      </c>
      <c r="V13" s="9">
        <f>HDD!B16</f>
        <v>533</v>
      </c>
      <c r="W13" s="9">
        <f>CDD!B16</f>
        <v>6</v>
      </c>
      <c r="Y13" s="15">
        <f t="shared" si="13"/>
        <v>996.19103428069172</v>
      </c>
      <c r="Z13" s="15">
        <f t="shared" si="14"/>
        <v>1043.0120128918841</v>
      </c>
      <c r="AA13" s="47">
        <f t="shared" si="15"/>
        <v>1043.0120128918841</v>
      </c>
      <c r="AB13" s="15">
        <f t="shared" si="16"/>
        <v>3.4000000000000004</v>
      </c>
      <c r="AC13" s="15">
        <f t="shared" si="17"/>
        <v>3.5598000000000001</v>
      </c>
      <c r="AD13" s="47">
        <f t="shared" si="4"/>
        <v>3.5598000000000001</v>
      </c>
    </row>
    <row r="14" spans="2:30">
      <c r="B14" s="1">
        <v>40634</v>
      </c>
      <c r="C14" s="3">
        <f>Gas!C13</f>
        <v>29</v>
      </c>
      <c r="D14" s="14">
        <f t="shared" si="5"/>
        <v>2.9000000000000004</v>
      </c>
      <c r="E14" s="15">
        <f t="shared" si="0"/>
        <v>3.0363000000000002</v>
      </c>
      <c r="G14" s="15">
        <f t="shared" si="1"/>
        <v>849.69235276882523</v>
      </c>
      <c r="H14" s="15">
        <f t="shared" si="2"/>
        <v>889.62789334896001</v>
      </c>
      <c r="I14" s="15"/>
      <c r="J14" s="1">
        <v>40634</v>
      </c>
      <c r="K14" s="32">
        <f>Elec!B13</f>
        <v>0</v>
      </c>
      <c r="L14" s="16">
        <f>Elec!C13</f>
        <v>0</v>
      </c>
      <c r="M14" s="15">
        <f t="shared" si="6"/>
        <v>0</v>
      </c>
      <c r="N14" s="16">
        <f>-(Elec!E13)</f>
        <v>0</v>
      </c>
      <c r="O14" s="75">
        <f t="shared" si="7"/>
        <v>0</v>
      </c>
      <c r="P14" s="15">
        <f t="shared" si="3"/>
        <v>0</v>
      </c>
      <c r="Q14" s="9">
        <f t="shared" si="8"/>
        <v>0</v>
      </c>
      <c r="R14" s="47">
        <f t="shared" si="9"/>
        <v>0</v>
      </c>
      <c r="S14" s="15">
        <f t="shared" si="10"/>
        <v>0</v>
      </c>
      <c r="T14" s="15">
        <f t="shared" si="11"/>
        <v>0</v>
      </c>
      <c r="U14" s="15">
        <f t="shared" si="12"/>
        <v>0</v>
      </c>
      <c r="V14" s="9">
        <f>HDD!B17</f>
        <v>310</v>
      </c>
      <c r="W14" s="9">
        <f>CDD!B17</f>
        <v>49</v>
      </c>
      <c r="Y14" s="15">
        <f t="shared" si="13"/>
        <v>849.69235276882523</v>
      </c>
      <c r="Z14" s="15">
        <f t="shared" si="14"/>
        <v>889.62789334896001</v>
      </c>
      <c r="AA14" s="47">
        <f t="shared" si="15"/>
        <v>889.62789334896001</v>
      </c>
      <c r="AB14" s="15">
        <f t="shared" si="16"/>
        <v>2.9000000000000004</v>
      </c>
      <c r="AC14" s="15">
        <f t="shared" si="17"/>
        <v>3.0363000000000002</v>
      </c>
      <c r="AD14" s="47">
        <f t="shared" si="4"/>
        <v>3.0363000000000002</v>
      </c>
    </row>
    <row r="15" spans="2:30">
      <c r="B15" s="1">
        <v>40664</v>
      </c>
      <c r="C15" s="3">
        <f>Gas!C14</f>
        <v>18</v>
      </c>
      <c r="D15" s="14">
        <f t="shared" si="5"/>
        <v>1.8</v>
      </c>
      <c r="E15" s="15">
        <f t="shared" si="0"/>
        <v>1.8845999999999998</v>
      </c>
      <c r="G15" s="15">
        <f t="shared" si="1"/>
        <v>527.39525344271908</v>
      </c>
      <c r="H15" s="15">
        <f t="shared" si="2"/>
        <v>552.1828303545268</v>
      </c>
      <c r="I15" s="15"/>
      <c r="J15" s="1">
        <v>40664</v>
      </c>
      <c r="K15" s="32">
        <f>Elec!B14</f>
        <v>0</v>
      </c>
      <c r="L15" s="16">
        <f>Elec!C14</f>
        <v>0</v>
      </c>
      <c r="M15" s="15">
        <f t="shared" si="6"/>
        <v>0</v>
      </c>
      <c r="N15" s="16">
        <f>-(Elec!E14)</f>
        <v>0</v>
      </c>
      <c r="O15" s="75">
        <f t="shared" si="7"/>
        <v>0</v>
      </c>
      <c r="P15" s="15">
        <f t="shared" si="3"/>
        <v>0</v>
      </c>
      <c r="Q15" s="9">
        <f t="shared" si="8"/>
        <v>0</v>
      </c>
      <c r="R15" s="47">
        <f t="shared" si="9"/>
        <v>0</v>
      </c>
      <c r="S15" s="15">
        <f t="shared" si="10"/>
        <v>0</v>
      </c>
      <c r="T15" s="15">
        <f t="shared" si="11"/>
        <v>0</v>
      </c>
      <c r="U15" s="15">
        <f t="shared" si="12"/>
        <v>0</v>
      </c>
      <c r="V15" s="9">
        <f>HDD!B18</f>
        <v>117</v>
      </c>
      <c r="W15" s="9">
        <f>CDD!B18</f>
        <v>102</v>
      </c>
      <c r="Y15" s="15">
        <f t="shared" si="13"/>
        <v>527.39525344271908</v>
      </c>
      <c r="Z15" s="15">
        <f t="shared" si="14"/>
        <v>552.1828303545268</v>
      </c>
      <c r="AA15" s="47">
        <f t="shared" si="15"/>
        <v>552.1828303545268</v>
      </c>
      <c r="AB15" s="15">
        <f t="shared" si="16"/>
        <v>1.8</v>
      </c>
      <c r="AC15" s="15">
        <f t="shared" si="17"/>
        <v>1.8845999999999998</v>
      </c>
      <c r="AD15" s="47">
        <f t="shared" si="4"/>
        <v>1.8845999999999998</v>
      </c>
    </row>
    <row r="16" spans="2:30">
      <c r="B16" s="1">
        <v>40695</v>
      </c>
      <c r="C16" s="3">
        <f>Gas!C15</f>
        <v>9</v>
      </c>
      <c r="D16" s="14">
        <f t="shared" si="5"/>
        <v>0.9</v>
      </c>
      <c r="E16" s="15">
        <f t="shared" si="0"/>
        <v>0.94229999999999992</v>
      </c>
      <c r="G16" s="15">
        <f t="shared" si="1"/>
        <v>263.69762672135954</v>
      </c>
      <c r="H16" s="15">
        <f t="shared" si="2"/>
        <v>276.0914151772634</v>
      </c>
      <c r="I16" s="15"/>
      <c r="J16" s="1">
        <v>40695</v>
      </c>
      <c r="K16" s="32">
        <f>Elec!B15</f>
        <v>0</v>
      </c>
      <c r="L16" s="16">
        <f>Elec!C15</f>
        <v>0</v>
      </c>
      <c r="M16" s="15">
        <f t="shared" si="6"/>
        <v>0</v>
      </c>
      <c r="N16" s="16">
        <f>-(Elec!E15)</f>
        <v>0</v>
      </c>
      <c r="O16" s="75">
        <f t="shared" si="7"/>
        <v>0</v>
      </c>
      <c r="P16" s="15">
        <f t="shared" si="3"/>
        <v>0</v>
      </c>
      <c r="Q16" s="9">
        <f t="shared" si="8"/>
        <v>0</v>
      </c>
      <c r="R16" s="47">
        <f t="shared" si="9"/>
        <v>0</v>
      </c>
      <c r="S16" s="15">
        <f t="shared" si="10"/>
        <v>0</v>
      </c>
      <c r="T16" s="15">
        <f t="shared" si="11"/>
        <v>0</v>
      </c>
      <c r="U16" s="15">
        <f t="shared" si="12"/>
        <v>0</v>
      </c>
      <c r="V16" s="9">
        <f>HDD!B19</f>
        <v>11</v>
      </c>
      <c r="W16" s="9">
        <f>CDD!B19</f>
        <v>275</v>
      </c>
      <c r="Y16" s="15">
        <f t="shared" si="13"/>
        <v>263.69762672135954</v>
      </c>
      <c r="Z16" s="15">
        <f t="shared" si="14"/>
        <v>276.0914151772634</v>
      </c>
      <c r="AA16" s="47">
        <f t="shared" si="15"/>
        <v>276.0914151772634</v>
      </c>
      <c r="AB16" s="15">
        <f t="shared" si="16"/>
        <v>0.9</v>
      </c>
      <c r="AC16" s="15">
        <f t="shared" si="17"/>
        <v>0.94229999999999992</v>
      </c>
      <c r="AD16" s="47">
        <f t="shared" si="4"/>
        <v>0.94229999999999992</v>
      </c>
    </row>
    <row r="17" spans="1:30">
      <c r="B17" s="1">
        <v>40735</v>
      </c>
      <c r="C17" s="3">
        <f>Gas!C16</f>
        <v>3</v>
      </c>
      <c r="D17" s="14">
        <f t="shared" si="5"/>
        <v>0.30000000000000004</v>
      </c>
      <c r="E17" s="15">
        <f t="shared" si="0"/>
        <v>0.31410000000000005</v>
      </c>
      <c r="G17" s="15">
        <f t="shared" si="1"/>
        <v>87.899208907119856</v>
      </c>
      <c r="H17" s="15">
        <f t="shared" si="2"/>
        <v>92.030471725754495</v>
      </c>
      <c r="I17" s="15"/>
      <c r="J17" s="1">
        <v>40725</v>
      </c>
      <c r="K17" s="32">
        <f>Elec!B16</f>
        <v>0</v>
      </c>
      <c r="L17" s="16">
        <f>Elec!C16</f>
        <v>0</v>
      </c>
      <c r="M17" s="15">
        <f t="shared" si="6"/>
        <v>0</v>
      </c>
      <c r="N17" s="16">
        <f>-(Elec!E16)</f>
        <v>0</v>
      </c>
      <c r="O17" s="75">
        <f t="shared" si="7"/>
        <v>0</v>
      </c>
      <c r="P17" s="15">
        <f t="shared" si="3"/>
        <v>0</v>
      </c>
      <c r="Q17" s="9">
        <f t="shared" si="8"/>
        <v>0</v>
      </c>
      <c r="R17" s="47">
        <f t="shared" si="9"/>
        <v>0</v>
      </c>
      <c r="S17" s="15">
        <f t="shared" si="10"/>
        <v>0</v>
      </c>
      <c r="T17" s="15">
        <f t="shared" si="11"/>
        <v>0</v>
      </c>
      <c r="U17" s="15">
        <f t="shared" si="12"/>
        <v>0</v>
      </c>
      <c r="V17" s="9">
        <f>HDD!B20</f>
        <v>22</v>
      </c>
      <c r="W17" s="9">
        <f>CDD!B20</f>
        <v>175</v>
      </c>
      <c r="Y17" s="15">
        <f t="shared" si="13"/>
        <v>87.899208907119856</v>
      </c>
      <c r="Z17" s="15">
        <f t="shared" si="14"/>
        <v>92.030471725754495</v>
      </c>
      <c r="AA17" s="47">
        <f t="shared" si="15"/>
        <v>92.030471725754495</v>
      </c>
      <c r="AB17" s="15">
        <f t="shared" si="16"/>
        <v>0.30000000000000004</v>
      </c>
      <c r="AC17" s="15">
        <f t="shared" si="17"/>
        <v>0.31410000000000005</v>
      </c>
      <c r="AD17" s="47">
        <f t="shared" si="4"/>
        <v>0.31410000000000005</v>
      </c>
    </row>
    <row r="18" spans="1:30">
      <c r="B18" s="1">
        <v>40766</v>
      </c>
      <c r="C18" s="3">
        <f>Gas!C17</f>
        <v>3</v>
      </c>
      <c r="D18" s="14">
        <f t="shared" si="5"/>
        <v>0.30000000000000004</v>
      </c>
      <c r="E18" s="15">
        <f t="shared" si="0"/>
        <v>0.31410000000000005</v>
      </c>
      <c r="G18" s="15">
        <f t="shared" si="1"/>
        <v>87.899208907119856</v>
      </c>
      <c r="H18" s="15">
        <f t="shared" si="2"/>
        <v>92.030471725754495</v>
      </c>
      <c r="I18" s="15"/>
      <c r="J18" s="1">
        <v>40756</v>
      </c>
      <c r="K18" s="32">
        <f>Elec!B17</f>
        <v>86</v>
      </c>
      <c r="L18" s="16">
        <f>Elec!C17</f>
        <v>0</v>
      </c>
      <c r="M18" s="15">
        <f t="shared" si="6"/>
        <v>176.69</v>
      </c>
      <c r="N18" s="16">
        <f>-(Elec!E17)</f>
        <v>90.69</v>
      </c>
      <c r="O18" s="75">
        <f t="shared" si="7"/>
        <v>90.69</v>
      </c>
      <c r="P18" s="15">
        <f>M18-O18</f>
        <v>86</v>
      </c>
      <c r="Q18" s="9">
        <f t="shared" si="8"/>
        <v>377.93</v>
      </c>
      <c r="R18" s="47">
        <f t="shared" si="9"/>
        <v>590.14459999999997</v>
      </c>
      <c r="S18" s="15">
        <f t="shared" si="10"/>
        <v>0.60304296999999996</v>
      </c>
      <c r="T18" s="15">
        <f t="shared" si="11"/>
        <v>1.28987509</v>
      </c>
      <c r="U18" s="15">
        <f t="shared" si="12"/>
        <v>2.0141635197999999</v>
      </c>
      <c r="V18" s="9">
        <f>HDD!B21</f>
        <v>106</v>
      </c>
      <c r="W18" s="9">
        <f>CDD!B21</f>
        <v>86</v>
      </c>
      <c r="Y18" s="33">
        <f t="shared" si="13"/>
        <v>264.58920890711988</v>
      </c>
      <c r="Z18" s="34">
        <f t="shared" si="14"/>
        <v>469.96047172575447</v>
      </c>
      <c r="AA18" s="47">
        <f t="shared" si="15"/>
        <v>682.17507172575449</v>
      </c>
      <c r="AB18" s="34">
        <f t="shared" si="16"/>
        <v>0.90304297</v>
      </c>
      <c r="AC18" s="34">
        <f t="shared" si="17"/>
        <v>1.60397509</v>
      </c>
      <c r="AD18" s="47">
        <f t="shared" si="4"/>
        <v>2.3282635198000001</v>
      </c>
    </row>
    <row r="19" spans="1:30">
      <c r="B19" s="1">
        <v>40797</v>
      </c>
      <c r="C19" s="3">
        <f>Gas!C18</f>
        <v>10</v>
      </c>
      <c r="D19" s="14">
        <f t="shared" si="5"/>
        <v>1</v>
      </c>
      <c r="E19" s="15">
        <f t="shared" si="0"/>
        <v>1.0469999999999999</v>
      </c>
      <c r="G19" s="15">
        <f t="shared" si="1"/>
        <v>292.99736302373282</v>
      </c>
      <c r="H19" s="15">
        <f t="shared" si="2"/>
        <v>306.76823908584822</v>
      </c>
      <c r="I19" s="15"/>
      <c r="J19" s="1">
        <v>40787</v>
      </c>
      <c r="K19" s="32">
        <f>Elec!B18</f>
        <v>328</v>
      </c>
      <c r="L19" s="16">
        <f>Elec!C18</f>
        <v>0</v>
      </c>
      <c r="M19" s="15">
        <f t="shared" si="6"/>
        <v>668.06999999999994</v>
      </c>
      <c r="N19" s="16">
        <f>-(Elec!E18)</f>
        <v>340.07</v>
      </c>
      <c r="O19" s="75">
        <f t="shared" si="7"/>
        <v>340.07</v>
      </c>
      <c r="P19" s="15">
        <f t="shared" ref="P19:P29" si="18">M19-O19</f>
        <v>327.99999999999994</v>
      </c>
      <c r="Q19" s="9">
        <f t="shared" si="8"/>
        <v>1435.5899999999997</v>
      </c>
      <c r="R19" s="47">
        <f t="shared" si="9"/>
        <v>2231.3537999999999</v>
      </c>
      <c r="S19" s="15">
        <f t="shared" si="10"/>
        <v>2.2801229099999998</v>
      </c>
      <c r="T19" s="15">
        <f t="shared" si="11"/>
        <v>4.8996686699999987</v>
      </c>
      <c r="U19" s="15">
        <f t="shared" si="12"/>
        <v>7.6156105193999988</v>
      </c>
      <c r="V19" s="9">
        <f>HDD!B22</f>
        <v>393</v>
      </c>
      <c r="W19" s="9">
        <f>CDD!B22</f>
        <v>15</v>
      </c>
      <c r="Y19" s="35">
        <f t="shared" si="13"/>
        <v>961.0673630237327</v>
      </c>
      <c r="Z19" s="36">
        <f t="shared" si="14"/>
        <v>1742.3582390858478</v>
      </c>
      <c r="AA19" s="47">
        <f t="shared" si="15"/>
        <v>2538.122039085848</v>
      </c>
      <c r="AB19" s="36">
        <f t="shared" si="16"/>
        <v>3.2801229099999998</v>
      </c>
      <c r="AC19" s="36">
        <f t="shared" si="17"/>
        <v>5.9466686699999984</v>
      </c>
      <c r="AD19" s="47">
        <f t="shared" si="4"/>
        <v>8.6626105193999994</v>
      </c>
    </row>
    <row r="20" spans="1:30">
      <c r="B20" s="1">
        <v>40827</v>
      </c>
      <c r="C20" s="3">
        <f>Gas!C19</f>
        <v>14</v>
      </c>
      <c r="D20" s="14">
        <f t="shared" si="5"/>
        <v>1.4000000000000001</v>
      </c>
      <c r="E20" s="15">
        <f t="shared" si="0"/>
        <v>1.4658</v>
      </c>
      <c r="G20" s="15">
        <f t="shared" si="1"/>
        <v>410.19630823322598</v>
      </c>
      <c r="H20" s="15">
        <f t="shared" si="2"/>
        <v>429.47553472018757</v>
      </c>
      <c r="I20" s="15"/>
      <c r="J20" s="1">
        <v>40817</v>
      </c>
      <c r="K20" s="32">
        <f>Elec!B19</f>
        <v>265</v>
      </c>
      <c r="L20" s="16">
        <f>Elec!C19</f>
        <v>0</v>
      </c>
      <c r="M20" s="15">
        <f t="shared" si="6"/>
        <v>616.41000000000008</v>
      </c>
      <c r="N20" s="16">
        <f>-(Elec!E19)</f>
        <v>351.41</v>
      </c>
      <c r="O20" s="75">
        <f t="shared" si="7"/>
        <v>351.41</v>
      </c>
      <c r="P20" s="15">
        <f t="shared" si="18"/>
        <v>265.00000000000006</v>
      </c>
      <c r="Q20" s="9">
        <f t="shared" si="8"/>
        <v>1236.5100000000002</v>
      </c>
      <c r="R20" s="47">
        <f t="shared" si="9"/>
        <v>2058.8094000000001</v>
      </c>
      <c r="S20" s="15">
        <f t="shared" si="10"/>
        <v>2.10380733</v>
      </c>
      <c r="T20" s="15">
        <f t="shared" si="11"/>
        <v>4.2202086300000001</v>
      </c>
      <c r="U20" s="15">
        <f t="shared" si="12"/>
        <v>7.0267164822000003</v>
      </c>
      <c r="V20" s="9">
        <f>HDD!B23</f>
        <v>513</v>
      </c>
      <c r="W20" s="9">
        <f>CDD!B23</f>
        <v>0</v>
      </c>
      <c r="Y20" s="35">
        <f t="shared" si="13"/>
        <v>1026.6063082332262</v>
      </c>
      <c r="Z20" s="36">
        <f t="shared" si="14"/>
        <v>1665.9855347201878</v>
      </c>
      <c r="AA20" s="47">
        <f t="shared" si="15"/>
        <v>2488.2849347201877</v>
      </c>
      <c r="AB20" s="36">
        <f t="shared" si="16"/>
        <v>3.5038073299999999</v>
      </c>
      <c r="AC20" s="36">
        <f t="shared" si="17"/>
        <v>5.6860086299999999</v>
      </c>
      <c r="AD20" s="47">
        <f t="shared" si="4"/>
        <v>8.492516482200001</v>
      </c>
    </row>
    <row r="21" spans="1:30">
      <c r="B21" s="1">
        <v>40858</v>
      </c>
      <c r="C21" s="3">
        <f>Gas!C20</f>
        <v>24</v>
      </c>
      <c r="D21" s="14">
        <f t="shared" si="5"/>
        <v>2.4000000000000004</v>
      </c>
      <c r="E21" s="15">
        <f t="shared" si="0"/>
        <v>2.5128000000000004</v>
      </c>
      <c r="G21" s="15">
        <f t="shared" si="1"/>
        <v>703.19367125695885</v>
      </c>
      <c r="H21" s="15">
        <f t="shared" si="2"/>
        <v>736.24377380603596</v>
      </c>
      <c r="I21" s="15"/>
      <c r="J21" s="1">
        <v>40848</v>
      </c>
      <c r="K21" s="32">
        <f>Elec!B20</f>
        <v>365</v>
      </c>
      <c r="L21" s="16">
        <f>Elec!C20</f>
        <v>0</v>
      </c>
      <c r="M21" s="15">
        <f t="shared" si="6"/>
        <v>705.06999999999994</v>
      </c>
      <c r="N21" s="16">
        <f>-(Elec!E20)</f>
        <v>340.07</v>
      </c>
      <c r="O21" s="75">
        <f t="shared" si="7"/>
        <v>340.07</v>
      </c>
      <c r="P21" s="15">
        <f t="shared" si="18"/>
        <v>364.99999999999994</v>
      </c>
      <c r="Q21" s="9">
        <f t="shared" si="8"/>
        <v>1559.1699999999996</v>
      </c>
      <c r="R21" s="47">
        <f t="shared" si="9"/>
        <v>2354.9337999999998</v>
      </c>
      <c r="S21" s="15">
        <f t="shared" si="10"/>
        <v>2.4064039099999994</v>
      </c>
      <c r="T21" s="15">
        <f t="shared" si="11"/>
        <v>5.3214472099999988</v>
      </c>
      <c r="U21" s="15">
        <f t="shared" si="12"/>
        <v>8.0373890593999988</v>
      </c>
      <c r="V21" s="9">
        <f>HDD!B24</f>
        <v>863</v>
      </c>
      <c r="W21" s="9">
        <f>CDD!B24</f>
        <v>0</v>
      </c>
      <c r="Y21" s="35">
        <f t="shared" si="13"/>
        <v>1408.2636712569588</v>
      </c>
      <c r="Z21" s="36">
        <f t="shared" si="14"/>
        <v>2295.4137738060354</v>
      </c>
      <c r="AA21" s="47">
        <f t="shared" si="15"/>
        <v>3091.177573806036</v>
      </c>
      <c r="AB21" s="36">
        <f t="shared" si="16"/>
        <v>4.8064039100000002</v>
      </c>
      <c r="AC21" s="36">
        <f t="shared" si="17"/>
        <v>7.8342472099999991</v>
      </c>
      <c r="AD21" s="47">
        <f t="shared" si="4"/>
        <v>10.550189059400001</v>
      </c>
    </row>
    <row r="22" spans="1:30">
      <c r="B22" s="1">
        <v>40888</v>
      </c>
      <c r="C22" s="3">
        <f>Gas!C21</f>
        <v>34</v>
      </c>
      <c r="D22" s="14">
        <f t="shared" si="5"/>
        <v>3.4000000000000004</v>
      </c>
      <c r="E22" s="15">
        <f t="shared" si="0"/>
        <v>3.5598000000000001</v>
      </c>
      <c r="G22" s="15">
        <f t="shared" si="1"/>
        <v>996.19103428069172</v>
      </c>
      <c r="H22" s="15">
        <f t="shared" si="2"/>
        <v>1043.0120128918841</v>
      </c>
      <c r="I22" s="15"/>
      <c r="J22" s="1">
        <v>40878</v>
      </c>
      <c r="K22" s="32">
        <f>Elec!B21</f>
        <v>429</v>
      </c>
      <c r="L22" s="16">
        <f>Elec!C21</f>
        <v>0</v>
      </c>
      <c r="M22" s="15">
        <f t="shared" si="6"/>
        <v>780.41000000000008</v>
      </c>
      <c r="N22" s="16">
        <f>-(Elec!E21)</f>
        <v>351.41</v>
      </c>
      <c r="O22" s="75">
        <f t="shared" si="7"/>
        <v>351.41</v>
      </c>
      <c r="P22" s="15">
        <f t="shared" si="18"/>
        <v>429.00000000000006</v>
      </c>
      <c r="Q22" s="9">
        <f t="shared" si="8"/>
        <v>1784.2700000000002</v>
      </c>
      <c r="R22" s="47">
        <f t="shared" si="9"/>
        <v>2606.5694000000003</v>
      </c>
      <c r="S22" s="15">
        <f t="shared" si="10"/>
        <v>2.6635393300000003</v>
      </c>
      <c r="T22" s="15">
        <f t="shared" si="11"/>
        <v>6.0897135100000002</v>
      </c>
      <c r="U22" s="15">
        <f t="shared" si="12"/>
        <v>8.8962213622000004</v>
      </c>
      <c r="V22" s="9">
        <f>HDD!B25</f>
        <v>1057</v>
      </c>
      <c r="W22" s="9">
        <f>CDD!B25</f>
        <v>0</v>
      </c>
      <c r="Y22" s="35">
        <f t="shared" si="13"/>
        <v>1776.6010342806917</v>
      </c>
      <c r="Z22" s="36">
        <f t="shared" si="14"/>
        <v>2827.2820128918843</v>
      </c>
      <c r="AA22" s="47">
        <f t="shared" si="15"/>
        <v>3649.5814128918846</v>
      </c>
      <c r="AB22" s="36">
        <f t="shared" si="16"/>
        <v>6.0635393300000011</v>
      </c>
      <c r="AC22" s="36">
        <f t="shared" si="17"/>
        <v>9.6495135100000002</v>
      </c>
      <c r="AD22" s="47">
        <f t="shared" si="4"/>
        <v>12.456021362200001</v>
      </c>
    </row>
    <row r="23" spans="1:30">
      <c r="B23" s="1">
        <v>40920</v>
      </c>
      <c r="C23" s="3">
        <f>Gas!C22</f>
        <v>65</v>
      </c>
      <c r="D23" s="14">
        <f t="shared" si="5"/>
        <v>6.5</v>
      </c>
      <c r="E23" s="15">
        <f t="shared" si="0"/>
        <v>6.8054999999999994</v>
      </c>
      <c r="G23" s="15">
        <f t="shared" si="1"/>
        <v>1904.4828596542634</v>
      </c>
      <c r="H23" s="15">
        <f t="shared" si="2"/>
        <v>1993.9935540580136</v>
      </c>
      <c r="I23" s="15"/>
      <c r="J23" s="1">
        <v>40909</v>
      </c>
      <c r="K23" s="32">
        <f>Elec!B22</f>
        <v>376</v>
      </c>
      <c r="L23" s="16">
        <f>Elec!C22</f>
        <v>0</v>
      </c>
      <c r="M23" s="15">
        <f t="shared" si="6"/>
        <v>727.41000000000008</v>
      </c>
      <c r="N23" s="16">
        <f>-(Elec!E22)</f>
        <v>351.41</v>
      </c>
      <c r="O23" s="75">
        <f t="shared" si="7"/>
        <v>351.41</v>
      </c>
      <c r="P23" s="15">
        <f t="shared" si="18"/>
        <v>376.00000000000006</v>
      </c>
      <c r="Q23" s="9">
        <f t="shared" si="8"/>
        <v>1607.2500000000002</v>
      </c>
      <c r="R23" s="47">
        <f t="shared" si="9"/>
        <v>2429.5494000000003</v>
      </c>
      <c r="S23" s="15">
        <f t="shared" si="10"/>
        <v>2.4826503300000002</v>
      </c>
      <c r="T23" s="15">
        <f t="shared" si="11"/>
        <v>5.4855442500000002</v>
      </c>
      <c r="U23" s="15">
        <f t="shared" si="12"/>
        <v>8.2920521022000013</v>
      </c>
      <c r="V23" s="9">
        <f>HDD!B26</f>
        <v>900</v>
      </c>
      <c r="W23" s="9">
        <f>CDD!B26</f>
        <v>0</v>
      </c>
      <c r="Y23" s="35">
        <f t="shared" si="13"/>
        <v>2631.8928596542637</v>
      </c>
      <c r="Z23" s="36">
        <f t="shared" si="14"/>
        <v>3601.2435540580136</v>
      </c>
      <c r="AA23" s="47">
        <f t="shared" si="15"/>
        <v>4423.5429540580135</v>
      </c>
      <c r="AB23" s="36">
        <f t="shared" si="16"/>
        <v>8.9826503300000002</v>
      </c>
      <c r="AC23" s="36">
        <f t="shared" si="17"/>
        <v>12.291044249999999</v>
      </c>
      <c r="AD23" s="47">
        <f t="shared" si="4"/>
        <v>15.0975521022</v>
      </c>
    </row>
    <row r="24" spans="1:30">
      <c r="B24" s="1">
        <v>40940</v>
      </c>
      <c r="C24" s="3">
        <f>Gas!C23</f>
        <v>50</v>
      </c>
      <c r="D24" s="14">
        <f t="shared" si="5"/>
        <v>5</v>
      </c>
      <c r="E24" s="15">
        <f t="shared" si="0"/>
        <v>5.2349999999999994</v>
      </c>
      <c r="G24" s="15">
        <f t="shared" si="1"/>
        <v>1464.986815118664</v>
      </c>
      <c r="H24" s="15">
        <f t="shared" si="2"/>
        <v>1533.8411954292412</v>
      </c>
      <c r="I24" s="15"/>
      <c r="J24" s="1">
        <v>40940</v>
      </c>
      <c r="K24" s="32">
        <f>Elec!B23</f>
        <v>323</v>
      </c>
      <c r="L24" s="16">
        <f>Elec!C23</f>
        <v>0</v>
      </c>
      <c r="M24" s="15">
        <f t="shared" si="6"/>
        <v>651.74</v>
      </c>
      <c r="N24" s="16">
        <f>-(Elec!E23)</f>
        <v>328.74</v>
      </c>
      <c r="O24" s="75">
        <f t="shared" si="7"/>
        <v>328.74</v>
      </c>
      <c r="P24" s="15">
        <f t="shared" si="18"/>
        <v>323</v>
      </c>
      <c r="Q24" s="9">
        <f t="shared" si="8"/>
        <v>1407.56</v>
      </c>
      <c r="R24" s="47">
        <f t="shared" si="9"/>
        <v>2176.8116</v>
      </c>
      <c r="S24" s="15">
        <f t="shared" si="10"/>
        <v>2.22438862</v>
      </c>
      <c r="T24" s="15">
        <f t="shared" si="11"/>
        <v>4.8040022799999997</v>
      </c>
      <c r="U24" s="15">
        <f t="shared" si="12"/>
        <v>7.4294579907999996</v>
      </c>
      <c r="V24" s="9">
        <f>HDD!B27</f>
        <v>690</v>
      </c>
      <c r="W24" s="9">
        <f>CDD!B27</f>
        <v>15</v>
      </c>
      <c r="Y24" s="35">
        <f t="shared" si="13"/>
        <v>2116.726815118664</v>
      </c>
      <c r="Z24" s="36">
        <f t="shared" si="14"/>
        <v>2941.4011954292409</v>
      </c>
      <c r="AA24" s="47">
        <f t="shared" si="15"/>
        <v>3710.6527954292415</v>
      </c>
      <c r="AB24" s="36">
        <f t="shared" si="16"/>
        <v>7.22438862</v>
      </c>
      <c r="AC24" s="36">
        <f t="shared" si="17"/>
        <v>10.039002279999998</v>
      </c>
      <c r="AD24" s="47">
        <f t="shared" si="4"/>
        <v>12.664457990800001</v>
      </c>
    </row>
    <row r="25" spans="1:30">
      <c r="B25" s="1">
        <v>40969</v>
      </c>
      <c r="C25" s="3">
        <f>Gas!C24</f>
        <v>43</v>
      </c>
      <c r="D25" s="14">
        <f t="shared" si="5"/>
        <v>4.3</v>
      </c>
      <c r="E25" s="15">
        <f t="shared" si="0"/>
        <v>4.5020999999999995</v>
      </c>
      <c r="G25" s="15">
        <f t="shared" si="1"/>
        <v>1259.8886610020511</v>
      </c>
      <c r="H25" s="15">
        <f t="shared" si="2"/>
        <v>1319.1034280691474</v>
      </c>
      <c r="I25" s="15"/>
      <c r="J25" s="1">
        <v>40969</v>
      </c>
      <c r="K25" s="32">
        <f>Elec!B24</f>
        <v>144</v>
      </c>
      <c r="L25" s="16">
        <f>Elec!C24</f>
        <v>0</v>
      </c>
      <c r="M25" s="15">
        <f t="shared" si="6"/>
        <v>495.41</v>
      </c>
      <c r="N25" s="16">
        <f>-(Elec!E24)</f>
        <v>351.41</v>
      </c>
      <c r="O25" s="75">
        <f t="shared" si="7"/>
        <v>351.41</v>
      </c>
      <c r="P25" s="15">
        <f t="shared" si="18"/>
        <v>144</v>
      </c>
      <c r="Q25" s="9">
        <f t="shared" si="8"/>
        <v>832.37</v>
      </c>
      <c r="R25" s="47">
        <f t="shared" si="9"/>
        <v>1654.6694</v>
      </c>
      <c r="S25" s="15">
        <f t="shared" si="10"/>
        <v>1.6908343299999999</v>
      </c>
      <c r="T25" s="15">
        <f t="shared" si="11"/>
        <v>2.84087881</v>
      </c>
      <c r="U25" s="15">
        <f t="shared" si="12"/>
        <v>5.6473866621999997</v>
      </c>
      <c r="V25" s="9">
        <f>HDD!B28</f>
        <v>461</v>
      </c>
      <c r="W25" s="9">
        <f>CDD!B28</f>
        <v>22</v>
      </c>
      <c r="Y25" s="35">
        <f t="shared" si="13"/>
        <v>1755.2986610020512</v>
      </c>
      <c r="Z25" s="36">
        <f t="shared" si="14"/>
        <v>2151.4734280691473</v>
      </c>
      <c r="AA25" s="47">
        <f t="shared" si="15"/>
        <v>2973.7728280691472</v>
      </c>
      <c r="AB25" s="36">
        <f t="shared" si="16"/>
        <v>5.9908343300000002</v>
      </c>
      <c r="AC25" s="36">
        <f t="shared" si="17"/>
        <v>7.34297881</v>
      </c>
      <c r="AD25" s="47">
        <f t="shared" si="4"/>
        <v>10.149486662199999</v>
      </c>
    </row>
    <row r="26" spans="1:30">
      <c r="B26" s="1">
        <v>41000</v>
      </c>
      <c r="C26" s="3">
        <f>Gas!C25</f>
        <v>24</v>
      </c>
      <c r="D26" s="14">
        <f t="shared" si="5"/>
        <v>2.4000000000000004</v>
      </c>
      <c r="E26" s="15">
        <f t="shared" si="0"/>
        <v>2.5128000000000004</v>
      </c>
      <c r="G26" s="15">
        <f t="shared" si="1"/>
        <v>703.19367125695885</v>
      </c>
      <c r="H26" s="15">
        <f t="shared" si="2"/>
        <v>736.24377380603596</v>
      </c>
      <c r="I26" s="15"/>
      <c r="J26" s="1">
        <v>41000</v>
      </c>
      <c r="K26" s="32">
        <f>Elec!B25</f>
        <v>29</v>
      </c>
      <c r="L26" s="16">
        <f>Elec!C25</f>
        <v>0</v>
      </c>
      <c r="M26" s="15">
        <f t="shared" si="6"/>
        <v>369.07</v>
      </c>
      <c r="N26" s="16">
        <f>-(Elec!E25)</f>
        <v>340.07</v>
      </c>
      <c r="O26" s="75">
        <f t="shared" si="7"/>
        <v>340.07</v>
      </c>
      <c r="P26" s="15">
        <f t="shared" si="18"/>
        <v>29</v>
      </c>
      <c r="Q26" s="9">
        <f t="shared" si="8"/>
        <v>436.93</v>
      </c>
      <c r="R26" s="47">
        <f t="shared" si="9"/>
        <v>1232.6938</v>
      </c>
      <c r="S26" s="15">
        <f t="shared" si="10"/>
        <v>1.2596359099999999</v>
      </c>
      <c r="T26" s="15">
        <f t="shared" si="11"/>
        <v>1.4912420899999999</v>
      </c>
      <c r="U26" s="15">
        <f t="shared" si="12"/>
        <v>4.2071839394000001</v>
      </c>
      <c r="V26" s="9">
        <f>HDD!B29</f>
        <v>213</v>
      </c>
      <c r="W26" s="9">
        <f>CDD!B29</f>
        <v>54</v>
      </c>
      <c r="Y26" s="35">
        <f t="shared" si="13"/>
        <v>1072.2636712569588</v>
      </c>
      <c r="Z26" s="36">
        <f t="shared" si="14"/>
        <v>1173.173773806036</v>
      </c>
      <c r="AA26" s="47">
        <f t="shared" si="15"/>
        <v>1968.937573806036</v>
      </c>
      <c r="AB26" s="36">
        <f t="shared" si="16"/>
        <v>3.6596359100000004</v>
      </c>
      <c r="AC26" s="36">
        <f t="shared" si="17"/>
        <v>4.0040420900000004</v>
      </c>
      <c r="AD26" s="47">
        <f t="shared" si="4"/>
        <v>6.7199839394000005</v>
      </c>
    </row>
    <row r="27" spans="1:30">
      <c r="B27" s="1">
        <v>41030</v>
      </c>
      <c r="C27" s="3">
        <f>Gas!C26</f>
        <v>18</v>
      </c>
      <c r="D27" s="14">
        <f t="shared" si="5"/>
        <v>1.8</v>
      </c>
      <c r="E27" s="15">
        <f t="shared" si="0"/>
        <v>1.8845999999999998</v>
      </c>
      <c r="G27" s="15">
        <f t="shared" si="1"/>
        <v>527.39525344271908</v>
      </c>
      <c r="H27" s="15">
        <f t="shared" si="2"/>
        <v>552.1828303545268</v>
      </c>
      <c r="I27" s="15"/>
      <c r="J27" s="1">
        <v>41030</v>
      </c>
      <c r="K27" s="32">
        <f>Elec!B26</f>
        <v>111</v>
      </c>
      <c r="L27" s="16">
        <f>Elec!C26</f>
        <v>0</v>
      </c>
      <c r="M27" s="15">
        <f t="shared" si="6"/>
        <v>462.41</v>
      </c>
      <c r="N27" s="16">
        <f>-(Elec!E26)</f>
        <v>351.41</v>
      </c>
      <c r="O27" s="75">
        <f t="shared" si="7"/>
        <v>351.41</v>
      </c>
      <c r="P27" s="15">
        <f t="shared" si="18"/>
        <v>111</v>
      </c>
      <c r="Q27" s="9">
        <f t="shared" si="8"/>
        <v>722.15000000000009</v>
      </c>
      <c r="R27" s="47">
        <f t="shared" si="9"/>
        <v>1544.4494</v>
      </c>
      <c r="S27" s="15">
        <f t="shared" si="10"/>
        <v>1.5782053300000001</v>
      </c>
      <c r="T27" s="15">
        <f t="shared" si="11"/>
        <v>2.4646979500000001</v>
      </c>
      <c r="U27" s="15">
        <f t="shared" si="12"/>
        <v>5.2712058021999999</v>
      </c>
      <c r="V27" s="9">
        <f>HDD!B30</f>
        <v>126</v>
      </c>
      <c r="W27" s="9">
        <f>CDD!B30</f>
        <v>118</v>
      </c>
      <c r="Y27" s="35">
        <f t="shared" si="13"/>
        <v>989.80525344271905</v>
      </c>
      <c r="Z27" s="36">
        <f t="shared" si="14"/>
        <v>1274.3328303545268</v>
      </c>
      <c r="AA27" s="47">
        <f t="shared" si="15"/>
        <v>2096.6322303545267</v>
      </c>
      <c r="AB27" s="36">
        <f t="shared" si="16"/>
        <v>3.3782053300000001</v>
      </c>
      <c r="AC27" s="36">
        <f t="shared" si="17"/>
        <v>4.3492979500000004</v>
      </c>
      <c r="AD27" s="47">
        <f t="shared" si="4"/>
        <v>7.1558058021999988</v>
      </c>
    </row>
    <row r="28" spans="1:30">
      <c r="B28" s="1">
        <v>41061</v>
      </c>
      <c r="C28" s="3">
        <f>Gas!C27</f>
        <v>12</v>
      </c>
      <c r="D28" s="14">
        <f t="shared" si="5"/>
        <v>1.2000000000000002</v>
      </c>
      <c r="E28" s="15">
        <f t="shared" si="0"/>
        <v>1.2564000000000002</v>
      </c>
      <c r="G28" s="15">
        <f t="shared" si="1"/>
        <v>351.59683562847943</v>
      </c>
      <c r="H28" s="15">
        <f t="shared" si="2"/>
        <v>368.12188690301798</v>
      </c>
      <c r="I28" s="15"/>
      <c r="J28" s="1">
        <v>41061</v>
      </c>
      <c r="K28" s="32">
        <f>Elec!B27</f>
        <v>95</v>
      </c>
      <c r="L28" s="16">
        <f>Elec!C27</f>
        <v>0</v>
      </c>
      <c r="M28" s="15">
        <f t="shared" si="6"/>
        <v>435.07</v>
      </c>
      <c r="N28" s="16">
        <f>-(Elec!E27)</f>
        <v>340.07</v>
      </c>
      <c r="O28" s="75">
        <f t="shared" si="7"/>
        <v>340.07</v>
      </c>
      <c r="P28" s="15">
        <f t="shared" si="18"/>
        <v>95</v>
      </c>
      <c r="Q28" s="9">
        <f t="shared" si="8"/>
        <v>657.37</v>
      </c>
      <c r="R28" s="47">
        <f t="shared" si="9"/>
        <v>1453.1337999999998</v>
      </c>
      <c r="S28" s="15">
        <f t="shared" si="10"/>
        <v>1.4848939099999998</v>
      </c>
      <c r="T28" s="15">
        <f t="shared" si="11"/>
        <v>2.2436038099999998</v>
      </c>
      <c r="U28" s="15">
        <f t="shared" si="12"/>
        <v>4.9595456593999989</v>
      </c>
      <c r="V28" s="9">
        <f>HDD!B31</f>
        <v>8</v>
      </c>
      <c r="W28" s="9">
        <f>CDD!B31</f>
        <v>269</v>
      </c>
      <c r="Y28" s="35">
        <f t="shared" si="13"/>
        <v>786.66683562847948</v>
      </c>
      <c r="Z28" s="36">
        <f t="shared" si="14"/>
        <v>1025.491886903018</v>
      </c>
      <c r="AA28" s="47">
        <f t="shared" si="15"/>
        <v>1821.2556869030177</v>
      </c>
      <c r="AB28" s="36">
        <f t="shared" si="16"/>
        <v>2.68489391</v>
      </c>
      <c r="AC28" s="36">
        <f t="shared" si="17"/>
        <v>3.5000038099999999</v>
      </c>
      <c r="AD28" s="47">
        <f t="shared" si="4"/>
        <v>6.2159456593999991</v>
      </c>
    </row>
    <row r="29" spans="1:30">
      <c r="B29" s="1">
        <v>41091</v>
      </c>
      <c r="C29" s="3">
        <f>Gas!C28</f>
        <v>12</v>
      </c>
      <c r="D29" s="14">
        <f t="shared" si="5"/>
        <v>1.2000000000000002</v>
      </c>
      <c r="E29" s="15">
        <f t="shared" si="0"/>
        <v>1.2564000000000002</v>
      </c>
      <c r="G29" s="15">
        <f t="shared" si="1"/>
        <v>351.59683562847943</v>
      </c>
      <c r="H29" s="15">
        <f t="shared" si="2"/>
        <v>368.12188690301798</v>
      </c>
      <c r="I29" s="15"/>
      <c r="J29" s="1">
        <v>41091</v>
      </c>
      <c r="K29" s="32">
        <f>Elec!B28</f>
        <v>163</v>
      </c>
      <c r="L29" s="16">
        <f>Elec!C28</f>
        <v>0</v>
      </c>
      <c r="M29" s="15">
        <f t="shared" si="6"/>
        <v>559.75</v>
      </c>
      <c r="N29" s="16">
        <f>-(Elec!E28)</f>
        <v>396.75</v>
      </c>
      <c r="O29" s="75">
        <f t="shared" si="7"/>
        <v>396.75</v>
      </c>
      <c r="P29" s="15">
        <f t="shared" si="18"/>
        <v>163</v>
      </c>
      <c r="Q29" s="9">
        <f t="shared" si="8"/>
        <v>941.17</v>
      </c>
      <c r="R29" s="48">
        <f t="shared" si="9"/>
        <v>1869.5649999999998</v>
      </c>
      <c r="S29" s="15">
        <f t="shared" si="10"/>
        <v>1.9104267499999998</v>
      </c>
      <c r="T29" s="15">
        <f t="shared" si="11"/>
        <v>3.2122132099999998</v>
      </c>
      <c r="U29" s="15">
        <f t="shared" si="12"/>
        <v>6.380825344999999</v>
      </c>
      <c r="V29" s="9">
        <f>HDD!B32</f>
        <v>0</v>
      </c>
      <c r="W29" s="9">
        <f>CDD!B32</f>
        <v>0</v>
      </c>
      <c r="Y29" s="38">
        <f t="shared" si="13"/>
        <v>911.34683562847943</v>
      </c>
      <c r="Z29" s="39">
        <f t="shared" si="14"/>
        <v>1309.2918869030179</v>
      </c>
      <c r="AA29" s="48">
        <f t="shared" si="15"/>
        <v>2237.6868869030177</v>
      </c>
      <c r="AB29" s="39">
        <f t="shared" si="16"/>
        <v>3.1104267500000002</v>
      </c>
      <c r="AC29" s="39">
        <f t="shared" si="17"/>
        <v>4.46861321</v>
      </c>
      <c r="AD29" s="48">
        <f t="shared" si="4"/>
        <v>7.6372253449999992</v>
      </c>
    </row>
    <row r="30" spans="1:30">
      <c r="B30" s="1"/>
      <c r="C30" s="3" t="s">
        <v>80</v>
      </c>
      <c r="D30" s="14">
        <f>SUM(D24:D29)</f>
        <v>15.900000000000002</v>
      </c>
      <c r="E30" s="15">
        <f t="shared" si="0"/>
        <v>16.647300000000001</v>
      </c>
      <c r="G30" s="15"/>
      <c r="H30" s="15"/>
      <c r="M30" s="9" t="s">
        <v>80</v>
      </c>
      <c r="N30">
        <f>SUM(N24:N29)</f>
        <v>2108.4499999999998</v>
      </c>
      <c r="P30" s="15">
        <f>SUM(P18:P29)</f>
        <v>2714</v>
      </c>
      <c r="R30" s="9" t="s">
        <v>80</v>
      </c>
      <c r="S30" s="15">
        <f>SUM(S24:S29)</f>
        <v>10.148384849999999</v>
      </c>
      <c r="T30" s="15">
        <f>SUM(T24:T29)</f>
        <v>17.056638149999998</v>
      </c>
      <c r="U30" s="15">
        <f>SUM(U24:U29)</f>
        <v>33.895605398999997</v>
      </c>
      <c r="AB30" s="68">
        <f t="shared" si="16"/>
        <v>26.048384850000001</v>
      </c>
    </row>
    <row r="31" spans="1:30" s="9" customFormat="1">
      <c r="B31" s="1"/>
      <c r="C31" s="3" t="s">
        <v>82</v>
      </c>
      <c r="D31" s="71">
        <f>SUM(D18:D29)</f>
        <v>30.900000000000002</v>
      </c>
      <c r="E31" s="15">
        <f t="shared" si="0"/>
        <v>32.3523</v>
      </c>
      <c r="N31" s="15">
        <f>N30*$E$3</f>
        <v>7.1961398499999989</v>
      </c>
      <c r="O31" s="15"/>
      <c r="P31" s="15">
        <f>SUM(P24:P29)</f>
        <v>865</v>
      </c>
      <c r="R31" s="9" t="s">
        <v>82</v>
      </c>
      <c r="S31" s="15">
        <f>SUM(S18:S29)</f>
        <v>22.687951630000001</v>
      </c>
      <c r="U31" s="15">
        <f>SUM(U18:U29)</f>
        <v>75.777758444200003</v>
      </c>
      <c r="AB31" s="68">
        <f t="shared" si="16"/>
        <v>53.587951630000006</v>
      </c>
    </row>
    <row r="32" spans="1:30" s="9" customFormat="1">
      <c r="A32" s="9" t="s">
        <v>78</v>
      </c>
      <c r="B32" s="1"/>
      <c r="C32" s="3"/>
      <c r="D32" s="49"/>
    </row>
    <row r="33" spans="1:30" s="9" customFormat="1">
      <c r="B33" s="66"/>
      <c r="C33" s="53">
        <f>MIN(C24:C29)</f>
        <v>12</v>
      </c>
      <c r="D33" s="54">
        <f t="shared" ref="D33" si="19">C33*E$2</f>
        <v>1.2000000000000002</v>
      </c>
      <c r="E33" s="55">
        <f t="shared" ref="E33" si="20">D33*E$5</f>
        <v>1.2564000000000002</v>
      </c>
      <c r="F33" s="56"/>
      <c r="G33" s="56"/>
      <c r="H33" s="56"/>
      <c r="I33" s="56"/>
      <c r="J33" s="56"/>
      <c r="K33" s="56"/>
      <c r="L33" s="56"/>
      <c r="M33" s="55">
        <f>MIN(M24:M29)</f>
        <v>369.07</v>
      </c>
      <c r="N33" s="56"/>
      <c r="O33" s="56"/>
      <c r="P33" s="56"/>
      <c r="Q33" s="56"/>
      <c r="R33" s="56"/>
      <c r="S33" s="55">
        <f t="shared" ref="S33:S35" si="21">M33*E$3</f>
        <v>1.2596359099999999</v>
      </c>
      <c r="T33" s="55">
        <f>S33*$E$4</f>
        <v>4.2071839393999992</v>
      </c>
      <c r="U33" s="55"/>
      <c r="V33" s="56"/>
      <c r="W33" s="56"/>
      <c r="X33" s="56"/>
      <c r="Y33" s="56"/>
      <c r="Z33" s="56"/>
      <c r="AA33" s="56"/>
      <c r="AB33" s="55">
        <f t="shared" ref="AB33" si="22">D33+S33</f>
        <v>2.4596359100000003</v>
      </c>
      <c r="AC33" s="55"/>
      <c r="AD33" s="67">
        <f>E33+T33</f>
        <v>5.4635839393999994</v>
      </c>
    </row>
    <row r="34" spans="1:30" s="9" customFormat="1">
      <c r="A34" s="9" t="s">
        <v>60</v>
      </c>
      <c r="B34" s="1"/>
      <c r="C34" s="3"/>
      <c r="D34" s="65"/>
    </row>
    <row r="35" spans="1:30" s="9" customFormat="1">
      <c r="A35" s="51"/>
      <c r="B35" s="52"/>
      <c r="C35" s="53">
        <f>SUM(C36:C37)/2</f>
        <v>11</v>
      </c>
      <c r="D35" s="54">
        <f t="shared" ref="D35" si="23">C35*E$2</f>
        <v>1.1000000000000001</v>
      </c>
      <c r="E35" s="55">
        <f t="shared" ref="E35" si="24">D35*E$5</f>
        <v>1.1516999999999999</v>
      </c>
      <c r="F35" s="56"/>
      <c r="G35" s="55">
        <f t="shared" ref="G35" si="25">D35*E$1</f>
        <v>322.29709932610615</v>
      </c>
      <c r="H35" s="55">
        <f t="shared" ref="H35" si="26">E35*E$1</f>
        <v>337.44506299443304</v>
      </c>
      <c r="I35" s="56"/>
      <c r="J35" s="56"/>
      <c r="K35" s="56"/>
      <c r="L35" s="56"/>
      <c r="M35" s="55">
        <f>SUM(M36:M37)/2</f>
        <v>402.07</v>
      </c>
      <c r="N35" s="56"/>
      <c r="O35" s="56"/>
      <c r="P35" s="56"/>
      <c r="Q35" s="56"/>
      <c r="R35" s="55"/>
      <c r="S35" s="55">
        <f t="shared" si="21"/>
        <v>1.3722649099999999</v>
      </c>
      <c r="T35" s="15">
        <f>S35*$E$4</f>
        <v>4.5833647994</v>
      </c>
      <c r="U35" s="15"/>
      <c r="V35" s="56"/>
      <c r="W35" s="56"/>
      <c r="X35" s="56"/>
      <c r="Y35" s="55"/>
      <c r="Z35" s="55"/>
      <c r="AA35" s="55"/>
      <c r="AB35" s="55">
        <f t="shared" ref="AB35" si="27">D35+S35</f>
        <v>2.4722649099999998</v>
      </c>
      <c r="AC35" s="55"/>
      <c r="AD35" s="48">
        <f>E35+T35</f>
        <v>5.7350647993999999</v>
      </c>
    </row>
    <row r="36" spans="1:30">
      <c r="B36" s="9"/>
      <c r="C36" s="50">
        <f>MIN(C19:C29)</f>
        <v>10</v>
      </c>
      <c r="D36" s="50"/>
      <c r="M36" s="15">
        <f>MIN(M19:M29)</f>
        <v>369.07</v>
      </c>
      <c r="W36" s="24" t="s">
        <v>55</v>
      </c>
      <c r="X36" s="25"/>
      <c r="Y36" s="25"/>
      <c r="Z36" s="25"/>
      <c r="AA36" s="25"/>
      <c r="AB36" s="25"/>
      <c r="AC36" s="25"/>
      <c r="AD36" s="26"/>
    </row>
    <row r="37" spans="1:30">
      <c r="C37">
        <f>MIN(C20:C29)</f>
        <v>12</v>
      </c>
      <c r="M37" s="15">
        <f>MIN(M27:M29,M19:M25)</f>
        <v>435.07</v>
      </c>
      <c r="W37" s="24"/>
      <c r="X37" s="25"/>
      <c r="Y37" s="25" t="s">
        <v>17</v>
      </c>
      <c r="Z37" s="25" t="s">
        <v>20</v>
      </c>
      <c r="AA37" s="25" t="s">
        <v>59</v>
      </c>
      <c r="AB37" s="25" t="s">
        <v>18</v>
      </c>
      <c r="AC37" s="20" t="s">
        <v>19</v>
      </c>
      <c r="AD37" s="26" t="s">
        <v>58</v>
      </c>
    </row>
    <row r="38" spans="1:30">
      <c r="M38" s="9"/>
      <c r="W38" s="24"/>
      <c r="X38" s="25"/>
      <c r="Y38" s="25"/>
      <c r="Z38" s="25"/>
      <c r="AA38" s="25"/>
      <c r="AB38" s="25"/>
      <c r="AC38" s="25"/>
      <c r="AD38" s="26"/>
    </row>
    <row r="39" spans="1:30">
      <c r="M39" s="9"/>
      <c r="W39" s="24" t="s">
        <v>53</v>
      </c>
      <c r="X39" s="25"/>
      <c r="Y39" s="36">
        <f t="shared" ref="Y39:AD39" si="28">SUM(Y18:Y29)</f>
        <v>15701.128517433342</v>
      </c>
      <c r="Z39" s="36">
        <f t="shared" si="28"/>
        <v>22477.408587752714</v>
      </c>
      <c r="AA39" s="36">
        <f t="shared" si="28"/>
        <v>31681.821987752719</v>
      </c>
      <c r="AB39" s="36">
        <f t="shared" si="28"/>
        <v>53.587951629999999</v>
      </c>
      <c r="AC39" s="36">
        <f t="shared" si="28"/>
        <v>76.715395509999993</v>
      </c>
      <c r="AD39" s="37">
        <f t="shared" si="28"/>
        <v>108.1300584442</v>
      </c>
    </row>
    <row r="40" spans="1:30">
      <c r="C40">
        <f>SUM(C24:C29)</f>
        <v>159</v>
      </c>
      <c r="M40" s="9">
        <f>SUM(M24:M29)</f>
        <v>2973.4500000000003</v>
      </c>
      <c r="W40" s="24"/>
      <c r="X40" s="25"/>
      <c r="Y40" s="25"/>
      <c r="Z40" s="25"/>
      <c r="AA40" s="25"/>
      <c r="AB40" s="25"/>
      <c r="AC40" s="25"/>
      <c r="AD40" s="26"/>
    </row>
    <row r="41" spans="1:30">
      <c r="C41">
        <f>SUM(C18:C29)</f>
        <v>309</v>
      </c>
      <c r="M41" s="9">
        <f>SUM(M18:M29)</f>
        <v>6647.5099999999984</v>
      </c>
      <c r="W41" s="27" t="s">
        <v>54</v>
      </c>
      <c r="X41" s="28"/>
      <c r="Y41" s="39">
        <f t="shared" ref="Y41:AD41" si="29">SUM(Y24:Y29)</f>
        <v>7632.1080720773516</v>
      </c>
      <c r="Z41" s="39">
        <f t="shared" si="29"/>
        <v>9875.1650014649877</v>
      </c>
      <c r="AA41" s="39">
        <f t="shared" si="29"/>
        <v>14808.938001464987</v>
      </c>
      <c r="AB41" s="39">
        <f t="shared" si="29"/>
        <v>26.048384850000005</v>
      </c>
      <c r="AC41" s="39">
        <f t="shared" si="29"/>
        <v>33.703938149999992</v>
      </c>
      <c r="AD41" s="40">
        <f t="shared" si="29"/>
        <v>50.542905398999999</v>
      </c>
    </row>
    <row r="43" spans="1:30">
      <c r="A43" s="9" t="s">
        <v>79</v>
      </c>
      <c r="E43" s="15">
        <f>SUM(E18:E29)</f>
        <v>32.352299999999993</v>
      </c>
      <c r="Q43" s="15"/>
      <c r="R43" s="15">
        <f>SUM(R18:R29)*E3</f>
        <v>75.777758444200003</v>
      </c>
      <c r="T43" s="15"/>
      <c r="U43" s="15"/>
    </row>
  </sheetData>
  <mergeCells count="1">
    <mergeCell ref="K7:L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C9" sqref="C9"/>
    </sheetView>
  </sheetViews>
  <sheetFormatPr defaultRowHeight="15"/>
  <cols>
    <col min="1" max="1" width="13.140625" bestFit="1" customWidth="1"/>
  </cols>
  <sheetData>
    <row r="1" spans="1:3">
      <c r="A1" s="9" t="s">
        <v>6</v>
      </c>
      <c r="B1" s="9" t="s">
        <v>7</v>
      </c>
      <c r="C1" s="9"/>
    </row>
    <row r="2" spans="1:3">
      <c r="A2" s="9" t="s">
        <v>8</v>
      </c>
      <c r="B2" s="9" t="s">
        <v>9</v>
      </c>
      <c r="C2" s="9"/>
    </row>
    <row r="3" spans="1:3">
      <c r="A3" s="9" t="s">
        <v>10</v>
      </c>
      <c r="B3" s="9" t="s">
        <v>11</v>
      </c>
      <c r="C3" s="9"/>
    </row>
    <row r="4" spans="1:3">
      <c r="A4" s="9" t="s">
        <v>12</v>
      </c>
      <c r="B4" s="9" t="s">
        <v>35</v>
      </c>
      <c r="C4" s="9"/>
    </row>
    <row r="5" spans="1:3">
      <c r="A5" s="9" t="s">
        <v>13</v>
      </c>
      <c r="B5" s="9" t="s">
        <v>36</v>
      </c>
      <c r="C5" s="9"/>
    </row>
    <row r="6" spans="1:3">
      <c r="A6" s="9"/>
      <c r="B6" s="9"/>
      <c r="C6" s="9"/>
    </row>
    <row r="7" spans="1:3">
      <c r="A7" s="9" t="s">
        <v>14</v>
      </c>
      <c r="B7" s="9" t="s">
        <v>1</v>
      </c>
      <c r="C7" s="9" t="s">
        <v>15</v>
      </c>
    </row>
    <row r="8" spans="1:3" s="8" customFormat="1">
      <c r="A8" s="10"/>
      <c r="B8" s="9"/>
      <c r="C8" s="9"/>
    </row>
    <row r="9" spans="1:3" s="5" customFormat="1">
      <c r="A9" s="10"/>
      <c r="B9" s="9"/>
      <c r="C9" s="9"/>
    </row>
    <row r="10" spans="1:3">
      <c r="A10" s="10">
        <v>40452</v>
      </c>
      <c r="B10" s="9">
        <v>415</v>
      </c>
      <c r="C10" s="9">
        <v>0.03</v>
      </c>
    </row>
    <row r="11" spans="1:3">
      <c r="A11" s="10">
        <v>40483</v>
      </c>
      <c r="B11" s="9">
        <v>697</v>
      </c>
      <c r="C11" s="9">
        <v>7.0000000000000007E-2</v>
      </c>
    </row>
    <row r="12" spans="1:3">
      <c r="A12" s="10">
        <v>40513</v>
      </c>
      <c r="B12" s="9">
        <v>1122</v>
      </c>
      <c r="C12" s="9">
        <v>0.3</v>
      </c>
    </row>
    <row r="13" spans="1:3">
      <c r="A13" s="10">
        <v>40544</v>
      </c>
      <c r="B13" s="9">
        <v>1261</v>
      </c>
      <c r="C13" s="9">
        <v>2</v>
      </c>
    </row>
    <row r="14" spans="1:3">
      <c r="A14" s="10">
        <v>40575</v>
      </c>
      <c r="B14" s="9">
        <v>1042</v>
      </c>
      <c r="C14" s="9">
        <v>0.1</v>
      </c>
    </row>
    <row r="15" spans="1:3">
      <c r="A15" s="10">
        <v>40603</v>
      </c>
      <c r="B15" s="9">
        <v>906</v>
      </c>
      <c r="C15" s="9">
        <v>0.06</v>
      </c>
    </row>
    <row r="16" spans="1:3">
      <c r="A16" s="10">
        <v>40634</v>
      </c>
      <c r="B16" s="9">
        <v>533</v>
      </c>
      <c r="C16" s="9">
        <v>0.3</v>
      </c>
    </row>
    <row r="17" spans="1:3">
      <c r="A17" s="10">
        <v>40664</v>
      </c>
      <c r="B17" s="9">
        <v>310</v>
      </c>
      <c r="C17" s="9">
        <v>0.03</v>
      </c>
    </row>
    <row r="18" spans="1:3">
      <c r="A18" s="10">
        <v>40695</v>
      </c>
      <c r="B18" s="9">
        <v>117</v>
      </c>
      <c r="C18" s="9">
        <v>0.1</v>
      </c>
    </row>
    <row r="19" spans="1:3">
      <c r="A19" s="10">
        <v>40725</v>
      </c>
      <c r="B19" s="9">
        <v>11</v>
      </c>
      <c r="C19" s="9">
        <v>0.2</v>
      </c>
    </row>
    <row r="20" spans="1:3">
      <c r="A20" s="10">
        <v>40756</v>
      </c>
      <c r="B20" s="9">
        <v>22</v>
      </c>
      <c r="C20" s="9">
        <v>0.1</v>
      </c>
    </row>
    <row r="21" spans="1:3">
      <c r="A21" s="10">
        <v>40787</v>
      </c>
      <c r="B21" s="9">
        <v>106</v>
      </c>
      <c r="C21" s="9">
        <v>0.1</v>
      </c>
    </row>
    <row r="22" spans="1:3">
      <c r="A22" s="10">
        <v>40817</v>
      </c>
      <c r="B22" s="9">
        <v>393</v>
      </c>
      <c r="C22" s="9">
        <v>0.2</v>
      </c>
    </row>
    <row r="23" spans="1:3">
      <c r="A23" s="10">
        <v>40848</v>
      </c>
      <c r="B23" s="9">
        <v>513</v>
      </c>
      <c r="C23" s="9">
        <v>13</v>
      </c>
    </row>
    <row r="24" spans="1:3">
      <c r="A24" s="10">
        <v>40878</v>
      </c>
      <c r="B24" s="9">
        <v>863</v>
      </c>
      <c r="C24" s="9">
        <v>0.5</v>
      </c>
    </row>
    <row r="25" spans="1:3">
      <c r="A25" s="10">
        <v>40909</v>
      </c>
      <c r="B25" s="9">
        <v>1057</v>
      </c>
      <c r="C25" s="9">
        <v>0.5</v>
      </c>
    </row>
    <row r="26" spans="1:3">
      <c r="A26" s="10">
        <v>40940</v>
      </c>
      <c r="B26" s="9">
        <v>900</v>
      </c>
      <c r="C26" s="9">
        <v>0.1</v>
      </c>
    </row>
    <row r="27" spans="1:3">
      <c r="A27" s="10">
        <v>40969</v>
      </c>
      <c r="B27" s="9">
        <v>690</v>
      </c>
      <c r="C27" s="9">
        <v>0.3</v>
      </c>
    </row>
    <row r="28" spans="1:3">
      <c r="A28" s="10">
        <v>41000</v>
      </c>
      <c r="B28" s="9">
        <v>461</v>
      </c>
      <c r="C28" s="9">
        <v>0.8</v>
      </c>
    </row>
    <row r="29" spans="1:3">
      <c r="A29" s="10">
        <v>41030</v>
      </c>
      <c r="B29" s="9">
        <v>213</v>
      </c>
      <c r="C29" s="9">
        <v>0.6</v>
      </c>
    </row>
    <row r="30" spans="1:3">
      <c r="A30" s="10">
        <v>41061</v>
      </c>
      <c r="B30" s="9">
        <v>126</v>
      </c>
      <c r="C30" s="9">
        <v>0.3</v>
      </c>
    </row>
    <row r="31" spans="1:3">
      <c r="A31" s="10">
        <v>41091</v>
      </c>
      <c r="B31" s="9">
        <v>8</v>
      </c>
      <c r="C31" s="9">
        <v>0.2</v>
      </c>
    </row>
    <row r="32" spans="1:3">
      <c r="A32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C9" sqref="C9"/>
    </sheetView>
  </sheetViews>
  <sheetFormatPr defaultRowHeight="15"/>
  <cols>
    <col min="1" max="1" width="13.140625" bestFit="1" customWidth="1"/>
  </cols>
  <sheetData>
    <row r="1" spans="1:3">
      <c r="A1" s="9" t="s">
        <v>6</v>
      </c>
      <c r="B1" s="9" t="s">
        <v>16</v>
      </c>
      <c r="C1" s="9"/>
    </row>
    <row r="2" spans="1:3">
      <c r="A2" s="9" t="s">
        <v>8</v>
      </c>
      <c r="B2" s="9" t="s">
        <v>9</v>
      </c>
      <c r="C2" s="9"/>
    </row>
    <row r="3" spans="1:3">
      <c r="A3" s="9" t="s">
        <v>10</v>
      </c>
      <c r="B3" s="9" t="s">
        <v>11</v>
      </c>
      <c r="C3" s="9"/>
    </row>
    <row r="4" spans="1:3">
      <c r="A4" s="9" t="s">
        <v>12</v>
      </c>
      <c r="B4" s="9" t="s">
        <v>35</v>
      </c>
      <c r="C4" s="9"/>
    </row>
    <row r="5" spans="1:3">
      <c r="A5" s="9" t="s">
        <v>13</v>
      </c>
      <c r="B5" s="9" t="s">
        <v>36</v>
      </c>
      <c r="C5" s="9"/>
    </row>
    <row r="6" spans="1:3">
      <c r="A6" s="9"/>
      <c r="B6" s="9"/>
      <c r="C6" s="9"/>
    </row>
    <row r="7" spans="1:3">
      <c r="A7" s="9" t="s">
        <v>14</v>
      </c>
      <c r="B7" s="9" t="s">
        <v>5</v>
      </c>
      <c r="C7" s="9" t="s">
        <v>15</v>
      </c>
    </row>
    <row r="8" spans="1:3" s="7" customFormat="1">
      <c r="A8" s="10"/>
      <c r="B8" s="9"/>
      <c r="C8" s="9"/>
    </row>
    <row r="9" spans="1:3" s="6" customFormat="1">
      <c r="A9" s="10"/>
      <c r="B9" s="9"/>
      <c r="C9" s="9"/>
    </row>
    <row r="10" spans="1:3">
      <c r="A10" s="10">
        <v>40452</v>
      </c>
      <c r="B10" s="9">
        <v>11</v>
      </c>
      <c r="C10" s="9">
        <v>0.03</v>
      </c>
    </row>
    <row r="11" spans="1:3">
      <c r="A11" s="10">
        <v>40483</v>
      </c>
      <c r="B11" s="9">
        <v>0</v>
      </c>
      <c r="C11" s="9">
        <v>7.0000000000000007E-2</v>
      </c>
    </row>
    <row r="12" spans="1:3">
      <c r="A12" s="10">
        <v>40513</v>
      </c>
      <c r="B12" s="9">
        <v>0</v>
      </c>
      <c r="C12" s="9">
        <v>0.3</v>
      </c>
    </row>
    <row r="13" spans="1:3">
      <c r="A13" s="10">
        <v>40544</v>
      </c>
      <c r="B13" s="9">
        <v>0</v>
      </c>
      <c r="C13" s="9">
        <v>2</v>
      </c>
    </row>
    <row r="14" spans="1:3">
      <c r="A14" s="10">
        <v>40575</v>
      </c>
      <c r="B14" s="9">
        <v>0</v>
      </c>
      <c r="C14" s="9">
        <v>0.1</v>
      </c>
    </row>
    <row r="15" spans="1:3">
      <c r="A15" s="10">
        <v>40603</v>
      </c>
      <c r="B15" s="9">
        <v>0</v>
      </c>
      <c r="C15" s="9">
        <v>0.06</v>
      </c>
    </row>
    <row r="16" spans="1:3">
      <c r="A16" s="10">
        <v>40634</v>
      </c>
      <c r="B16" s="9">
        <v>6</v>
      </c>
      <c r="C16" s="9">
        <v>0.3</v>
      </c>
    </row>
    <row r="17" spans="1:3">
      <c r="A17" s="10">
        <v>40664</v>
      </c>
      <c r="B17" s="9">
        <v>49</v>
      </c>
      <c r="C17" s="9">
        <v>0.03</v>
      </c>
    </row>
    <row r="18" spans="1:3">
      <c r="A18" s="10">
        <v>40695</v>
      </c>
      <c r="B18" s="9">
        <v>102</v>
      </c>
      <c r="C18" s="9">
        <v>0.1</v>
      </c>
    </row>
    <row r="19" spans="1:3">
      <c r="A19" s="10">
        <v>40725</v>
      </c>
      <c r="B19" s="9">
        <v>275</v>
      </c>
      <c r="C19" s="9">
        <v>0.2</v>
      </c>
    </row>
    <row r="20" spans="1:3">
      <c r="A20" s="10">
        <v>40756</v>
      </c>
      <c r="B20" s="9">
        <v>175</v>
      </c>
      <c r="C20" s="9">
        <v>0.1</v>
      </c>
    </row>
    <row r="21" spans="1:3">
      <c r="A21" s="10">
        <v>40787</v>
      </c>
      <c r="B21" s="9">
        <v>86</v>
      </c>
      <c r="C21" s="9">
        <v>0.1</v>
      </c>
    </row>
    <row r="22" spans="1:3">
      <c r="A22" s="10">
        <v>40817</v>
      </c>
      <c r="B22" s="9">
        <v>15</v>
      </c>
      <c r="C22" s="9">
        <v>0.2</v>
      </c>
    </row>
    <row r="23" spans="1:3">
      <c r="A23" s="10">
        <v>40848</v>
      </c>
      <c r="B23" s="9">
        <v>0</v>
      </c>
      <c r="C23" s="9">
        <v>13</v>
      </c>
    </row>
    <row r="24" spans="1:3">
      <c r="A24" s="10">
        <v>40878</v>
      </c>
      <c r="B24" s="9">
        <v>0</v>
      </c>
      <c r="C24" s="9">
        <v>0.5</v>
      </c>
    </row>
    <row r="25" spans="1:3">
      <c r="A25" s="10">
        <v>40909</v>
      </c>
      <c r="B25" s="9">
        <v>0</v>
      </c>
      <c r="C25" s="9">
        <v>0.5</v>
      </c>
    </row>
    <row r="26" spans="1:3">
      <c r="A26" s="10">
        <v>40940</v>
      </c>
      <c r="B26" s="9">
        <v>0</v>
      </c>
      <c r="C26" s="9">
        <v>0.1</v>
      </c>
    </row>
    <row r="27" spans="1:3">
      <c r="A27" s="10">
        <v>40969</v>
      </c>
      <c r="B27" s="9">
        <v>15</v>
      </c>
      <c r="C27" s="9">
        <v>0.3</v>
      </c>
    </row>
    <row r="28" spans="1:3">
      <c r="A28" s="10">
        <v>41000</v>
      </c>
      <c r="B28" s="9">
        <v>22</v>
      </c>
      <c r="C28" s="9">
        <v>0.8</v>
      </c>
    </row>
    <row r="29" spans="1:3">
      <c r="A29" s="10">
        <v>41030</v>
      </c>
      <c r="B29" s="9">
        <v>54</v>
      </c>
      <c r="C29" s="9">
        <v>0.6</v>
      </c>
    </row>
    <row r="30" spans="1:3">
      <c r="A30" s="10">
        <v>41061</v>
      </c>
      <c r="B30" s="9">
        <v>118</v>
      </c>
      <c r="C30" s="9">
        <v>0.3</v>
      </c>
    </row>
    <row r="31" spans="1:3">
      <c r="A31" s="10">
        <v>41091</v>
      </c>
      <c r="B31" s="9">
        <v>269</v>
      </c>
      <c r="C31" s="9">
        <v>0.2</v>
      </c>
    </row>
    <row r="32" spans="1:3">
      <c r="A32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4"/>
  <sheetViews>
    <sheetView topLeftCell="A3" workbookViewId="0">
      <selection activeCell="R15" sqref="R15"/>
    </sheetView>
  </sheetViews>
  <sheetFormatPr defaultRowHeight="15"/>
  <cols>
    <col min="4" max="5" width="9.140625" style="9"/>
    <col min="14" max="14" width="11.5703125" bestFit="1" customWidth="1"/>
  </cols>
  <sheetData>
    <row r="1" spans="1:18">
      <c r="A1" s="9" t="s">
        <v>61</v>
      </c>
      <c r="B1" s="9"/>
      <c r="C1" s="9"/>
      <c r="F1" s="9"/>
      <c r="G1" s="9"/>
      <c r="H1" s="9"/>
      <c r="I1" s="9"/>
      <c r="J1" s="9"/>
      <c r="K1" s="9"/>
      <c r="L1" s="9"/>
      <c r="M1" s="9"/>
      <c r="N1" s="9"/>
    </row>
    <row r="2" spans="1:18">
      <c r="A2" s="9"/>
      <c r="B2" s="9"/>
      <c r="C2" s="9"/>
      <c r="F2" s="9"/>
      <c r="G2" s="9"/>
      <c r="H2" s="9"/>
      <c r="I2" s="9"/>
      <c r="J2" s="9"/>
      <c r="K2" s="9"/>
      <c r="L2" s="9"/>
      <c r="M2" s="9"/>
      <c r="N2" s="9"/>
    </row>
    <row r="3" spans="1:18">
      <c r="A3" s="9"/>
      <c r="B3" s="9"/>
      <c r="C3" s="9"/>
      <c r="F3" s="9"/>
      <c r="G3" s="9"/>
      <c r="H3" s="9"/>
      <c r="I3" s="9"/>
      <c r="J3" s="9"/>
      <c r="K3" s="9"/>
      <c r="L3" s="9"/>
      <c r="M3" s="9"/>
      <c r="N3" s="9"/>
    </row>
    <row r="4" spans="1:18">
      <c r="A4" s="9"/>
      <c r="B4" s="9"/>
      <c r="C4" s="9" t="s">
        <v>71</v>
      </c>
      <c r="F4" s="9" t="str">
        <f>HDD!B4</f>
        <v>MILTON BLUE HILL OBSERV, MA, US (71.11W,42.21N)</v>
      </c>
      <c r="G4" s="9"/>
      <c r="H4" s="9"/>
      <c r="I4" s="9"/>
      <c r="J4" s="74" t="s">
        <v>67</v>
      </c>
      <c r="K4" s="74"/>
      <c r="L4" s="74"/>
      <c r="M4" s="9"/>
      <c r="N4" s="9"/>
    </row>
    <row r="5" spans="1:18" ht="26.25">
      <c r="A5" s="9" t="s">
        <v>62</v>
      </c>
      <c r="B5" s="9" t="s">
        <v>63</v>
      </c>
      <c r="C5" s="9" t="s">
        <v>72</v>
      </c>
      <c r="F5" s="9" t="s">
        <v>64</v>
      </c>
      <c r="G5" s="9" t="s">
        <v>65</v>
      </c>
      <c r="H5" s="9" t="s">
        <v>66</v>
      </c>
      <c r="I5" s="9"/>
      <c r="J5" s="57" t="s">
        <v>68</v>
      </c>
      <c r="K5" s="57" t="s">
        <v>69</v>
      </c>
      <c r="L5" s="57" t="s">
        <v>70</v>
      </c>
      <c r="M5" s="9"/>
      <c r="N5" s="9"/>
    </row>
    <row r="6" spans="1:18">
      <c r="A6" s="9"/>
      <c r="B6" s="9"/>
      <c r="C6" s="9"/>
      <c r="D6" s="9" t="s">
        <v>42</v>
      </c>
      <c r="E6" s="9" t="s">
        <v>44</v>
      </c>
      <c r="F6" s="9"/>
      <c r="G6" s="9"/>
      <c r="H6" s="9"/>
      <c r="I6" s="9"/>
      <c r="J6" s="9"/>
      <c r="K6" s="9"/>
      <c r="L6" s="9"/>
      <c r="M6" s="9" t="s">
        <v>73</v>
      </c>
      <c r="N6" s="9" t="s">
        <v>73</v>
      </c>
      <c r="P6" s="9" t="s">
        <v>76</v>
      </c>
    </row>
    <row r="7" spans="1:18">
      <c r="A7" s="9"/>
      <c r="B7" s="9"/>
      <c r="C7" s="9"/>
      <c r="F7" s="9"/>
      <c r="G7" s="9"/>
      <c r="H7" s="9"/>
      <c r="I7" s="9"/>
      <c r="J7" s="9"/>
      <c r="K7" s="9"/>
      <c r="L7" s="9"/>
      <c r="M7" s="9" t="s">
        <v>74</v>
      </c>
      <c r="N7" s="9" t="s">
        <v>75</v>
      </c>
      <c r="P7" s="9" t="s">
        <v>77</v>
      </c>
    </row>
    <row r="8" spans="1:18">
      <c r="A8" s="1">
        <f>'Energy Use'!B17</f>
        <v>40735</v>
      </c>
      <c r="B8" s="9"/>
      <c r="C8" s="15"/>
      <c r="D8" s="15">
        <f>'Energy Use'!S17</f>
        <v>0</v>
      </c>
      <c r="E8" s="15">
        <f>'Energy Use'!D17</f>
        <v>0.30000000000000004</v>
      </c>
      <c r="F8" s="9">
        <f>CDD!B19</f>
        <v>275</v>
      </c>
      <c r="G8" s="9">
        <f>HDD!B19</f>
        <v>11</v>
      </c>
      <c r="H8" s="9"/>
      <c r="I8" s="9"/>
      <c r="J8" s="9"/>
      <c r="K8" s="58">
        <v>284</v>
      </c>
      <c r="L8" s="58">
        <v>3</v>
      </c>
      <c r="M8" s="59"/>
      <c r="N8" s="9"/>
    </row>
    <row r="9" spans="1:18">
      <c r="A9" s="1">
        <f>'Energy Use'!B18</f>
        <v>40766</v>
      </c>
      <c r="B9" s="9"/>
      <c r="C9" s="15"/>
      <c r="D9" s="15">
        <f>'Energy Use'!S18</f>
        <v>0.60304296999999996</v>
      </c>
      <c r="E9" s="15">
        <f>'Energy Use'!D18</f>
        <v>0.30000000000000004</v>
      </c>
      <c r="F9" s="9">
        <f>CDD!B20</f>
        <v>175</v>
      </c>
      <c r="G9" s="9">
        <f>HDD!B20</f>
        <v>22</v>
      </c>
      <c r="H9" s="9"/>
      <c r="I9" s="9"/>
      <c r="J9" s="9"/>
      <c r="K9" s="59">
        <v>193</v>
      </c>
      <c r="L9" s="59">
        <v>5</v>
      </c>
      <c r="M9" s="63">
        <f>0.0048*L9+0.4323</f>
        <v>0.45630000000000004</v>
      </c>
      <c r="N9" s="15">
        <f>M9+D9</f>
        <v>1.0593429699999999</v>
      </c>
      <c r="P9" s="15">
        <f>D9*'Energy Use'!$E$4+M9*'Energy Use'!$E$5</f>
        <v>2.4919096197999999</v>
      </c>
    </row>
    <row r="10" spans="1:18">
      <c r="A10" s="1">
        <f>'Energy Use'!B19</f>
        <v>40797</v>
      </c>
      <c r="B10" s="9"/>
      <c r="C10" s="15"/>
      <c r="D10" s="15">
        <f>'Energy Use'!S19</f>
        <v>2.2801229099999998</v>
      </c>
      <c r="E10" s="15">
        <f>'Energy Use'!D19</f>
        <v>1</v>
      </c>
      <c r="F10" s="9">
        <f>CDD!B21</f>
        <v>86</v>
      </c>
      <c r="G10" s="9">
        <f>HDD!B21</f>
        <v>106</v>
      </c>
      <c r="H10" s="9"/>
      <c r="I10" s="9"/>
      <c r="J10" s="9"/>
      <c r="K10" s="59">
        <v>53</v>
      </c>
      <c r="L10" s="59">
        <v>66</v>
      </c>
      <c r="M10" s="63">
        <f t="shared" ref="M10:M20" si="0">0.0048*L10+0.4323</f>
        <v>0.74909999999999999</v>
      </c>
      <c r="N10" s="15">
        <f t="shared" ref="N10:N20" si="1">M10+D10</f>
        <v>3.0292229099999997</v>
      </c>
      <c r="P10" s="15">
        <f>D10*'Energy Use'!$E$4+M10*'Energy Use'!$E$5</f>
        <v>8.3999182193999982</v>
      </c>
    </row>
    <row r="11" spans="1:18">
      <c r="A11" s="1">
        <f>'Energy Use'!B20</f>
        <v>40827</v>
      </c>
      <c r="B11" s="9"/>
      <c r="C11" s="15"/>
      <c r="D11" s="15">
        <f>'Energy Use'!S20</f>
        <v>2.10380733</v>
      </c>
      <c r="E11" s="15">
        <f>'Energy Use'!D20</f>
        <v>1.4000000000000001</v>
      </c>
      <c r="F11" s="9">
        <f>CDD!B22</f>
        <v>15</v>
      </c>
      <c r="G11" s="9">
        <f>HDD!B22</f>
        <v>393</v>
      </c>
      <c r="H11" s="9"/>
      <c r="I11" s="9"/>
      <c r="J11" s="9"/>
      <c r="K11" s="60">
        <v>9</v>
      </c>
      <c r="L11" s="60">
        <v>348</v>
      </c>
      <c r="M11" s="63">
        <f t="shared" si="0"/>
        <v>2.1027</v>
      </c>
      <c r="N11" s="15">
        <f t="shared" si="1"/>
        <v>4.20650733</v>
      </c>
      <c r="P11" s="15">
        <f>D11*'Energy Use'!$E$4+M11*'Energy Use'!$E$5</f>
        <v>9.2282433821999987</v>
      </c>
    </row>
    <row r="12" spans="1:18">
      <c r="A12" s="1">
        <f>'Energy Use'!B21</f>
        <v>40858</v>
      </c>
      <c r="B12" s="9"/>
      <c r="C12" s="15"/>
      <c r="D12" s="15">
        <f>'Energy Use'!S21</f>
        <v>2.4064039099999994</v>
      </c>
      <c r="E12" s="15">
        <f>'Energy Use'!D21</f>
        <v>2.4000000000000004</v>
      </c>
      <c r="F12" s="9">
        <f>CDD!B23</f>
        <v>0</v>
      </c>
      <c r="G12" s="9">
        <f>HDD!B23</f>
        <v>513</v>
      </c>
      <c r="H12" s="9"/>
      <c r="I12" s="9"/>
      <c r="J12" s="9"/>
      <c r="K12" s="60">
        <v>0</v>
      </c>
      <c r="L12" s="60">
        <v>652</v>
      </c>
      <c r="M12" s="63">
        <f t="shared" si="0"/>
        <v>3.5619000000000001</v>
      </c>
      <c r="N12" s="15">
        <f t="shared" si="1"/>
        <v>5.9683039099999995</v>
      </c>
      <c r="P12" s="15">
        <f>D12*'Energy Use'!$E$4+M12*'Energy Use'!$E$5</f>
        <v>11.766698359399996</v>
      </c>
    </row>
    <row r="13" spans="1:18">
      <c r="A13" s="1">
        <f>'Energy Use'!B22</f>
        <v>40888</v>
      </c>
      <c r="B13" s="9"/>
      <c r="C13" s="15"/>
      <c r="D13" s="15">
        <f>'Energy Use'!S22</f>
        <v>2.6635393300000003</v>
      </c>
      <c r="E13" s="15">
        <f>'Energy Use'!D22</f>
        <v>3.4000000000000004</v>
      </c>
      <c r="F13" s="9">
        <f>CDD!B24</f>
        <v>0</v>
      </c>
      <c r="G13" s="9">
        <f>HDD!B24</f>
        <v>863</v>
      </c>
      <c r="H13" s="9"/>
      <c r="I13" s="9"/>
      <c r="J13" s="9"/>
      <c r="K13" s="60">
        <v>0</v>
      </c>
      <c r="L13" s="60">
        <v>902</v>
      </c>
      <c r="M13" s="63">
        <f t="shared" si="0"/>
        <v>4.7618999999999989</v>
      </c>
      <c r="N13" s="15">
        <f t="shared" si="1"/>
        <v>7.4254393299999997</v>
      </c>
      <c r="P13" s="15">
        <f>D13*'Energy Use'!$E$4+M13*'Energy Use'!$E$5</f>
        <v>13.881930662199998</v>
      </c>
    </row>
    <row r="14" spans="1:18">
      <c r="A14" s="1">
        <f>'Energy Use'!B23</f>
        <v>40920</v>
      </c>
      <c r="B14" s="9"/>
      <c r="C14" s="15"/>
      <c r="D14" s="15">
        <f>'Energy Use'!S23</f>
        <v>2.4826503300000002</v>
      </c>
      <c r="E14" s="15">
        <f>'Energy Use'!D23</f>
        <v>6.5</v>
      </c>
      <c r="F14" s="9">
        <f>CDD!B25</f>
        <v>0</v>
      </c>
      <c r="G14" s="9">
        <f>HDD!B25</f>
        <v>1057</v>
      </c>
      <c r="H14" s="9"/>
      <c r="I14" s="9"/>
      <c r="J14" s="9"/>
      <c r="K14" s="60">
        <v>0</v>
      </c>
      <c r="L14" s="60">
        <v>1189</v>
      </c>
      <c r="M14" s="63">
        <f t="shared" si="0"/>
        <v>6.1394999999999991</v>
      </c>
      <c r="N14" s="15">
        <f t="shared" si="1"/>
        <v>8.6221503300000002</v>
      </c>
      <c r="P14" s="15">
        <f>D14*'Energy Use'!$E$4+M14*'Energy Use'!$E$5</f>
        <v>14.7201086022</v>
      </c>
      <c r="R14" s="15">
        <f>SUM(P9:P14)</f>
        <v>60.488808845199991</v>
      </c>
    </row>
    <row r="15" spans="1:18">
      <c r="A15" s="1">
        <f>'Energy Use'!B24</f>
        <v>40940</v>
      </c>
      <c r="B15" s="9"/>
      <c r="C15" s="15"/>
      <c r="D15" s="15">
        <f>'Energy Use'!S24</f>
        <v>2.22438862</v>
      </c>
      <c r="E15" s="15">
        <f>'Energy Use'!D24</f>
        <v>5</v>
      </c>
      <c r="F15" s="9">
        <f>CDD!B26</f>
        <v>0</v>
      </c>
      <c r="G15" s="9">
        <f>HDD!B26</f>
        <v>900</v>
      </c>
      <c r="H15" s="9"/>
      <c r="I15" s="9"/>
      <c r="J15" s="9"/>
      <c r="K15" s="60">
        <v>0</v>
      </c>
      <c r="L15" s="60">
        <v>950</v>
      </c>
      <c r="M15" s="63">
        <f t="shared" si="0"/>
        <v>4.9922999999999993</v>
      </c>
      <c r="N15" s="15">
        <f t="shared" si="1"/>
        <v>7.2166886199999993</v>
      </c>
      <c r="P15" s="15">
        <f>D15*'Energy Use'!$E$4+M15*'Energy Use'!$E$5</f>
        <v>12.656396090799998</v>
      </c>
    </row>
    <row r="16" spans="1:18">
      <c r="A16" s="1">
        <f>'Energy Use'!B25</f>
        <v>40969</v>
      </c>
      <c r="B16" s="9"/>
      <c r="C16" s="15"/>
      <c r="D16" s="15">
        <f>'Energy Use'!S25</f>
        <v>1.6908343299999999</v>
      </c>
      <c r="E16" s="15">
        <f>'Energy Use'!D25</f>
        <v>4.3</v>
      </c>
      <c r="F16" s="9">
        <f>CDD!B27</f>
        <v>15</v>
      </c>
      <c r="G16" s="9">
        <f>HDD!B27</f>
        <v>690</v>
      </c>
      <c r="H16" s="9"/>
      <c r="I16" s="9"/>
      <c r="J16" s="9"/>
      <c r="K16" s="60">
        <v>0</v>
      </c>
      <c r="L16" s="60">
        <v>813</v>
      </c>
      <c r="M16" s="63">
        <f t="shared" si="0"/>
        <v>4.3346999999999998</v>
      </c>
      <c r="N16" s="15">
        <f t="shared" si="1"/>
        <v>6.0255343299999993</v>
      </c>
      <c r="P16" s="15">
        <f>D16*'Energy Use'!$E$4+M16*'Energy Use'!$E$5</f>
        <v>10.1858175622</v>
      </c>
    </row>
    <row r="17" spans="1:18">
      <c r="A17" s="1">
        <f>'Energy Use'!B26</f>
        <v>41000</v>
      </c>
      <c r="B17" s="9"/>
      <c r="C17" s="15"/>
      <c r="D17" s="15">
        <f>'Energy Use'!S26</f>
        <v>1.2596359099999999</v>
      </c>
      <c r="E17" s="15">
        <f>'Energy Use'!D26</f>
        <v>2.4000000000000004</v>
      </c>
      <c r="F17" s="9">
        <f>CDD!B28</f>
        <v>22</v>
      </c>
      <c r="G17" s="9">
        <f>HDD!B28</f>
        <v>461</v>
      </c>
      <c r="H17" s="9"/>
      <c r="I17" s="9"/>
      <c r="J17" s="9"/>
      <c r="K17" s="60">
        <v>9</v>
      </c>
      <c r="L17" s="60">
        <v>537</v>
      </c>
      <c r="M17" s="63">
        <f t="shared" si="0"/>
        <v>3.0099</v>
      </c>
      <c r="N17" s="15">
        <f t="shared" si="1"/>
        <v>4.2695359100000001</v>
      </c>
      <c r="P17" s="15">
        <f>D17*'Energy Use'!$E$4+M17*'Energy Use'!$E$5</f>
        <v>7.3585492393999985</v>
      </c>
    </row>
    <row r="18" spans="1:18">
      <c r="A18" s="1">
        <f>'Energy Use'!B27</f>
        <v>41030</v>
      </c>
      <c r="B18" s="9"/>
      <c r="C18" s="15"/>
      <c r="D18" s="15">
        <f>'Energy Use'!S27</f>
        <v>1.5782053300000001</v>
      </c>
      <c r="E18" s="15">
        <f>'Energy Use'!D27</f>
        <v>1.8</v>
      </c>
      <c r="F18" s="9">
        <f>CDD!B29</f>
        <v>54</v>
      </c>
      <c r="G18" s="9">
        <f>HDD!B29</f>
        <v>213</v>
      </c>
      <c r="H18" s="9"/>
      <c r="I18" s="9"/>
      <c r="J18" s="9"/>
      <c r="K18" s="60">
        <v>30</v>
      </c>
      <c r="L18" s="60">
        <v>204</v>
      </c>
      <c r="M18" s="63">
        <f t="shared" si="0"/>
        <v>1.4115</v>
      </c>
      <c r="N18" s="15">
        <f t="shared" si="1"/>
        <v>2.98970533</v>
      </c>
      <c r="P18" s="15">
        <f>D18*'Energy Use'!$E$4+M18*'Energy Use'!$E$5</f>
        <v>6.7490463022</v>
      </c>
    </row>
    <row r="19" spans="1:18">
      <c r="A19" s="1">
        <f>'Energy Use'!B28</f>
        <v>41061</v>
      </c>
      <c r="B19" s="9"/>
      <c r="C19" s="15"/>
      <c r="D19" s="15">
        <f>'Energy Use'!S28</f>
        <v>1.4848939099999998</v>
      </c>
      <c r="E19" s="15">
        <f>'Energy Use'!D28</f>
        <v>1.2000000000000002</v>
      </c>
      <c r="F19" s="9">
        <f>CDD!B30</f>
        <v>118</v>
      </c>
      <c r="G19" s="9">
        <f>HDD!B30</f>
        <v>126</v>
      </c>
      <c r="H19" s="9"/>
      <c r="I19" s="9"/>
      <c r="J19" s="9"/>
      <c r="K19" s="60">
        <v>116</v>
      </c>
      <c r="L19" s="60">
        <v>87</v>
      </c>
      <c r="M19" s="63">
        <f t="shared" si="0"/>
        <v>0.84989999999999999</v>
      </c>
      <c r="N19" s="15">
        <f t="shared" si="1"/>
        <v>2.3347939099999997</v>
      </c>
      <c r="P19" s="15">
        <f>D19*'Energy Use'!$E$4+M19*'Energy Use'!$E$5</f>
        <v>5.8493909593999991</v>
      </c>
    </row>
    <row r="20" spans="1:18">
      <c r="A20" s="1">
        <f>'Energy Use'!B29</f>
        <v>41091</v>
      </c>
      <c r="B20" s="9"/>
      <c r="C20" s="15"/>
      <c r="D20" s="15">
        <f>'Energy Use'!S29</f>
        <v>1.9104267499999998</v>
      </c>
      <c r="E20" s="15">
        <f>'Energy Use'!D29</f>
        <v>1.2000000000000002</v>
      </c>
      <c r="F20" s="9">
        <f>CDD!B31</f>
        <v>269</v>
      </c>
      <c r="G20" s="9">
        <f>HDD!B31</f>
        <v>8</v>
      </c>
      <c r="H20" s="9"/>
      <c r="I20" s="9"/>
      <c r="J20" s="9"/>
      <c r="K20" s="58">
        <v>284</v>
      </c>
      <c r="L20" s="58">
        <v>3</v>
      </c>
      <c r="M20" s="64">
        <f t="shared" si="0"/>
        <v>0.44670000000000004</v>
      </c>
      <c r="N20" s="39">
        <f t="shared" si="1"/>
        <v>2.3571267499999999</v>
      </c>
      <c r="O20" s="28"/>
      <c r="P20" s="15">
        <f>D20*'Energy Use'!$E$4+M20*'Energy Use'!$E$5</f>
        <v>6.8485202449999987</v>
      </c>
      <c r="R20" s="15">
        <f>SUM(P15:P20)</f>
        <v>49.647720398999986</v>
      </c>
    </row>
    <row r="21" spans="1:18">
      <c r="A21" s="9"/>
      <c r="B21" s="9"/>
      <c r="C21" s="9"/>
      <c r="F21" s="9"/>
      <c r="G21" s="9"/>
      <c r="H21" s="9"/>
      <c r="I21" s="9"/>
      <c r="J21" s="9"/>
      <c r="K21" s="59"/>
      <c r="L21" s="59"/>
      <c r="M21" s="61"/>
      <c r="N21" s="15">
        <f>SUM(N9:N20)</f>
        <v>55.504351630000002</v>
      </c>
      <c r="P21" s="15">
        <f>SUM(P9:P20)</f>
        <v>110.13652924419998</v>
      </c>
    </row>
    <row r="22" spans="1:18">
      <c r="A22" s="9"/>
      <c r="B22" s="9"/>
      <c r="C22" s="9"/>
      <c r="F22" s="9"/>
      <c r="G22" s="9"/>
      <c r="H22" s="9"/>
      <c r="I22" s="9"/>
      <c r="J22" s="9"/>
      <c r="K22" s="60"/>
      <c r="L22" s="60"/>
      <c r="M22" s="61"/>
      <c r="N22" s="15">
        <f>SUM(D9:D20)+SUM(E9:E20)</f>
        <v>53.587951630000006</v>
      </c>
    </row>
    <row r="24" spans="1:18">
      <c r="N24" s="62">
        <f>(N22-N21)/N22</f>
        <v>-3.5761769982026008E-2</v>
      </c>
    </row>
  </sheetData>
  <mergeCells count="1">
    <mergeCell ref="J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2013-03-15T16:46:41Z</dcterms:modified>
</cp:coreProperties>
</file>