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6"/>
  </bookViews>
  <sheets>
    <sheet name="Pre-Retrofit" sheetId="1" r:id="rId1"/>
    <sheet name="Gas" sheetId="9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/>
</workbook>
</file>

<file path=xl/calcChain.xml><?xml version="1.0" encoding="utf-8"?>
<calcChain xmlns="http://schemas.openxmlformats.org/spreadsheetml/2006/main">
  <c r="T32" i="8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P14"/>
  <c r="P13"/>
  <c r="P12"/>
  <c r="P11"/>
  <c r="Q11" s="1"/>
  <c r="U36"/>
  <c r="S36"/>
  <c r="E36"/>
  <c r="D36"/>
  <c r="K21"/>
  <c r="P21" s="1"/>
  <c r="L21"/>
  <c r="N21"/>
  <c r="K22"/>
  <c r="P22" s="1"/>
  <c r="L22"/>
  <c r="N22"/>
  <c r="K23"/>
  <c r="P23" s="1"/>
  <c r="L23"/>
  <c r="N23"/>
  <c r="K24"/>
  <c r="P24" s="1"/>
  <c r="L24"/>
  <c r="N24"/>
  <c r="K25"/>
  <c r="P25" s="1"/>
  <c r="L25"/>
  <c r="N25"/>
  <c r="K26"/>
  <c r="P26" s="1"/>
  <c r="L26"/>
  <c r="N26"/>
  <c r="K27"/>
  <c r="P27" s="1"/>
  <c r="L27"/>
  <c r="N27"/>
  <c r="K28"/>
  <c r="P28" s="1"/>
  <c r="L28"/>
  <c r="N28"/>
  <c r="O28" s="1"/>
  <c r="K29"/>
  <c r="P29" s="1"/>
  <c r="L29"/>
  <c r="N29"/>
  <c r="K30"/>
  <c r="P30" s="1"/>
  <c r="L30"/>
  <c r="N30"/>
  <c r="K31"/>
  <c r="P31" s="1"/>
  <c r="L31"/>
  <c r="N31"/>
  <c r="K32"/>
  <c r="P32" s="1"/>
  <c r="L32"/>
  <c r="N32"/>
  <c r="O32" s="1"/>
  <c r="C21"/>
  <c r="C22"/>
  <c r="C23"/>
  <c r="C24"/>
  <c r="D24" s="1"/>
  <c r="C25"/>
  <c r="C26"/>
  <c r="D26" s="1"/>
  <c r="C27"/>
  <c r="C28"/>
  <c r="D28" s="1"/>
  <c r="C29"/>
  <c r="C30"/>
  <c r="D30" s="1"/>
  <c r="C31"/>
  <c r="C32"/>
  <c r="D32" s="1"/>
  <c r="D21"/>
  <c r="E9" i="3" s="1"/>
  <c r="D23" i="8"/>
  <c r="E11" i="3" s="1"/>
  <c r="D25" i="8"/>
  <c r="E13" i="3" s="1"/>
  <c r="D27" i="8"/>
  <c r="D29"/>
  <c r="E17" i="3" s="1"/>
  <c r="D31" i="8"/>
  <c r="E19" i="3" s="1"/>
  <c r="M20"/>
  <c r="M19"/>
  <c r="M18"/>
  <c r="M17"/>
  <c r="M16"/>
  <c r="M15"/>
  <c r="M14"/>
  <c r="M13"/>
  <c r="M12"/>
  <c r="M11"/>
  <c r="M10"/>
  <c r="M9"/>
  <c r="A20"/>
  <c r="A19"/>
  <c r="A18"/>
  <c r="A17"/>
  <c r="A16"/>
  <c r="A15"/>
  <c r="A14"/>
  <c r="A13"/>
  <c r="A12"/>
  <c r="A11"/>
  <c r="A10"/>
  <c r="A9"/>
  <c r="C20" i="8"/>
  <c r="D20" s="1"/>
  <c r="K20"/>
  <c r="P20" s="1"/>
  <c r="L20"/>
  <c r="N20"/>
  <c r="O20" s="1"/>
  <c r="F21" i="3"/>
  <c r="K21"/>
  <c r="G20"/>
  <c r="G19"/>
  <c r="G18"/>
  <c r="G17"/>
  <c r="G16"/>
  <c r="G15"/>
  <c r="G14"/>
  <c r="G13"/>
  <c r="G12"/>
  <c r="G11"/>
  <c r="G10"/>
  <c r="G9"/>
  <c r="G8"/>
  <c r="F20"/>
  <c r="F19"/>
  <c r="F18"/>
  <c r="F17"/>
  <c r="F16"/>
  <c r="F15"/>
  <c r="F14"/>
  <c r="F13"/>
  <c r="F12"/>
  <c r="F11"/>
  <c r="F10"/>
  <c r="F9"/>
  <c r="F8"/>
  <c r="A8"/>
  <c r="F4"/>
  <c r="K19" i="8"/>
  <c r="P19" s="1"/>
  <c r="K18"/>
  <c r="P18" s="1"/>
  <c r="K17"/>
  <c r="P17" s="1"/>
  <c r="K16"/>
  <c r="P16" s="1"/>
  <c r="K15"/>
  <c r="P15" s="1"/>
  <c r="K14"/>
  <c r="K13"/>
  <c r="K12"/>
  <c r="K11"/>
  <c r="U41" i="1"/>
  <c r="T41"/>
  <c r="R41"/>
  <c r="Q41"/>
  <c r="O41"/>
  <c r="N41"/>
  <c r="L41"/>
  <c r="K41"/>
  <c r="I41"/>
  <c r="H41"/>
  <c r="F41"/>
  <c r="E41"/>
  <c r="D41"/>
  <c r="F32"/>
  <c r="F31"/>
  <c r="F30"/>
  <c r="F29"/>
  <c r="F28"/>
  <c r="D29" i="2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E34" i="8"/>
  <c r="C33"/>
  <c r="D33" s="1"/>
  <c r="E33" s="1"/>
  <c r="E29"/>
  <c r="E25"/>
  <c r="E21"/>
  <c r="C19"/>
  <c r="C18"/>
  <c r="D18" s="1"/>
  <c r="E18" s="1"/>
  <c r="C17"/>
  <c r="D17"/>
  <c r="C16"/>
  <c r="D16" s="1"/>
  <c r="E16" s="1"/>
  <c r="C15"/>
  <c r="C14"/>
  <c r="D14" s="1"/>
  <c r="E14" s="1"/>
  <c r="C13"/>
  <c r="D13" s="1"/>
  <c r="C12"/>
  <c r="D12" s="1"/>
  <c r="E12" s="1"/>
  <c r="C11"/>
  <c r="E31"/>
  <c r="E27"/>
  <c r="E23"/>
  <c r="D19"/>
  <c r="E19" s="1"/>
  <c r="D15"/>
  <c r="E15" s="1"/>
  <c r="D11"/>
  <c r="E11" s="1"/>
  <c r="H11" s="1"/>
  <c r="C37" i="9"/>
  <c r="C36"/>
  <c r="F36"/>
  <c r="B12"/>
  <c r="C34"/>
  <c r="C35"/>
  <c r="F34"/>
  <c r="B10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F21" i="1"/>
  <c r="E3" i="8"/>
  <c r="S9" i="1"/>
  <c r="F35" i="9"/>
  <c r="B11"/>
  <c r="K9" i="8"/>
  <c r="W13"/>
  <c r="V13"/>
  <c r="W12"/>
  <c r="V12"/>
  <c r="W11"/>
  <c r="V11"/>
  <c r="N13"/>
  <c r="N12"/>
  <c r="N11"/>
  <c r="L13"/>
  <c r="L12"/>
  <c r="L11"/>
  <c r="G9" i="2"/>
  <c r="G8"/>
  <c r="G7"/>
  <c r="F7"/>
  <c r="F8"/>
  <c r="F9"/>
  <c r="N19" i="8"/>
  <c r="N18"/>
  <c r="N17"/>
  <c r="N16"/>
  <c r="N15"/>
  <c r="N14"/>
  <c r="L19"/>
  <c r="M19" s="1"/>
  <c r="L18"/>
  <c r="M18" s="1"/>
  <c r="L17"/>
  <c r="L16"/>
  <c r="L15"/>
  <c r="L14"/>
  <c r="E1"/>
  <c r="E2"/>
  <c r="E4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G28" i="2"/>
  <c r="G27"/>
  <c r="G26"/>
  <c r="G25"/>
  <c r="G24"/>
  <c r="G23"/>
  <c r="G22"/>
  <c r="G21"/>
  <c r="G20"/>
  <c r="G19"/>
  <c r="G18"/>
  <c r="G17"/>
  <c r="G16"/>
  <c r="F28"/>
  <c r="F27"/>
  <c r="F26"/>
  <c r="F25"/>
  <c r="F24"/>
  <c r="F23"/>
  <c r="F22"/>
  <c r="F21"/>
  <c r="F20"/>
  <c r="F19"/>
  <c r="F18"/>
  <c r="F17"/>
  <c r="F16"/>
  <c r="G11"/>
  <c r="G12"/>
  <c r="G13"/>
  <c r="G14"/>
  <c r="G15"/>
  <c r="G10"/>
  <c r="F11"/>
  <c r="F12"/>
  <c r="F13"/>
  <c r="F14"/>
  <c r="F15"/>
  <c r="F10"/>
  <c r="M17" i="8"/>
  <c r="O19"/>
  <c r="O27"/>
  <c r="O35" s="1"/>
  <c r="O37" s="1"/>
  <c r="O14"/>
  <c r="O18"/>
  <c r="O22"/>
  <c r="O26"/>
  <c r="O30"/>
  <c r="M12"/>
  <c r="S12" s="1"/>
  <c r="O15"/>
  <c r="O23"/>
  <c r="O31"/>
  <c r="O17"/>
  <c r="O21"/>
  <c r="O25"/>
  <c r="O29"/>
  <c r="O12"/>
  <c r="G12"/>
  <c r="G11"/>
  <c r="G32"/>
  <c r="G31"/>
  <c r="G29"/>
  <c r="G28"/>
  <c r="G27"/>
  <c r="G26"/>
  <c r="G25"/>
  <c r="G23"/>
  <c r="G21"/>
  <c r="G19"/>
  <c r="Y19" s="1"/>
  <c r="G18"/>
  <c r="G16"/>
  <c r="G15"/>
  <c r="G14"/>
  <c r="R19"/>
  <c r="U19" s="1"/>
  <c r="R17"/>
  <c r="U17" s="1"/>
  <c r="H21"/>
  <c r="H27"/>
  <c r="H29"/>
  <c r="H31"/>
  <c r="P34" l="1"/>
  <c r="P33"/>
  <c r="Y12"/>
  <c r="D35"/>
  <c r="AD19"/>
  <c r="AC19"/>
  <c r="H19"/>
  <c r="AA19" s="1"/>
  <c r="E8" i="3"/>
  <c r="E20" i="8"/>
  <c r="Y18"/>
  <c r="E15" i="3"/>
  <c r="C42" i="8"/>
  <c r="C44"/>
  <c r="M31"/>
  <c r="M29"/>
  <c r="R29" s="1"/>
  <c r="U29" s="1"/>
  <c r="M27"/>
  <c r="Y27" s="1"/>
  <c r="M25"/>
  <c r="AC25" s="1"/>
  <c r="M23"/>
  <c r="M21"/>
  <c r="R21" s="1"/>
  <c r="U21" s="1"/>
  <c r="Y23"/>
  <c r="O16"/>
  <c r="M15"/>
  <c r="M20"/>
  <c r="C41"/>
  <c r="M32"/>
  <c r="Y32" s="1"/>
  <c r="M30"/>
  <c r="M28"/>
  <c r="M26"/>
  <c r="R26" s="1"/>
  <c r="U26" s="1"/>
  <c r="O24"/>
  <c r="M24"/>
  <c r="M22"/>
  <c r="H16"/>
  <c r="H18"/>
  <c r="AC18"/>
  <c r="R18"/>
  <c r="S18"/>
  <c r="AB18" s="1"/>
  <c r="Z19"/>
  <c r="S19"/>
  <c r="AB19" s="1"/>
  <c r="AC15"/>
  <c r="Y15"/>
  <c r="H15"/>
  <c r="H23"/>
  <c r="H12"/>
  <c r="E13"/>
  <c r="G13"/>
  <c r="H14"/>
  <c r="R31"/>
  <c r="S31"/>
  <c r="Z29"/>
  <c r="AC29"/>
  <c r="S29"/>
  <c r="M44"/>
  <c r="Z27"/>
  <c r="R27"/>
  <c r="U27" s="1"/>
  <c r="M38"/>
  <c r="S38" s="1"/>
  <c r="T38" s="1"/>
  <c r="S27"/>
  <c r="R25"/>
  <c r="U25" s="1"/>
  <c r="S25"/>
  <c r="AC23"/>
  <c r="R23"/>
  <c r="S23"/>
  <c r="M42"/>
  <c r="AC21"/>
  <c r="M45"/>
  <c r="M41"/>
  <c r="M40" s="1"/>
  <c r="S40" s="1"/>
  <c r="T40" s="1"/>
  <c r="S21"/>
  <c r="AD31"/>
  <c r="R12"/>
  <c r="AC12"/>
  <c r="S17"/>
  <c r="AB17" s="1"/>
  <c r="M11"/>
  <c r="O11"/>
  <c r="O13"/>
  <c r="M13"/>
  <c r="E17"/>
  <c r="G17"/>
  <c r="Y17" s="1"/>
  <c r="H25"/>
  <c r="AD25"/>
  <c r="R20"/>
  <c r="U20" s="1"/>
  <c r="S20"/>
  <c r="D8" i="3" s="1"/>
  <c r="E32" i="8"/>
  <c r="E20" i="3"/>
  <c r="G30" i="8"/>
  <c r="Y30" s="1"/>
  <c r="E18" i="3"/>
  <c r="E30" i="8"/>
  <c r="E16" i="3"/>
  <c r="E28" i="8"/>
  <c r="E35" s="1"/>
  <c r="E26"/>
  <c r="E14" i="3"/>
  <c r="E24" i="8"/>
  <c r="G24"/>
  <c r="Y24" s="1"/>
  <c r="E12" i="3"/>
  <c r="S32" i="8"/>
  <c r="S30"/>
  <c r="R30"/>
  <c r="U30" s="1"/>
  <c r="S28"/>
  <c r="R28"/>
  <c r="U28" s="1"/>
  <c r="S26"/>
  <c r="D14" i="3" s="1"/>
  <c r="S24" i="8"/>
  <c r="D12" i="3" s="1"/>
  <c r="S22" i="8"/>
  <c r="D10" i="3" s="1"/>
  <c r="R22" i="8"/>
  <c r="U22" s="1"/>
  <c r="Z31"/>
  <c r="Z21"/>
  <c r="AB12"/>
  <c r="M14"/>
  <c r="M16"/>
  <c r="C45"/>
  <c r="AB20"/>
  <c r="G20"/>
  <c r="Y20" s="1"/>
  <c r="D22"/>
  <c r="C38"/>
  <c r="D38" s="1"/>
  <c r="AD12" l="1"/>
  <c r="U12"/>
  <c r="AD23"/>
  <c r="U23"/>
  <c r="AA31"/>
  <c r="U31"/>
  <c r="AD18"/>
  <c r="U18"/>
  <c r="S35"/>
  <c r="C40"/>
  <c r="D40" s="1"/>
  <c r="AC27"/>
  <c r="T35"/>
  <c r="Y28"/>
  <c r="AC32"/>
  <c r="R32"/>
  <c r="U32" s="1"/>
  <c r="U35" s="1"/>
  <c r="AD21"/>
  <c r="AA21"/>
  <c r="AA29"/>
  <c r="AD29"/>
  <c r="H20"/>
  <c r="Z20" s="1"/>
  <c r="AC20"/>
  <c r="Y26"/>
  <c r="Y25"/>
  <c r="AC24"/>
  <c r="R24"/>
  <c r="S15"/>
  <c r="AB15" s="1"/>
  <c r="R15"/>
  <c r="Y31"/>
  <c r="AC31"/>
  <c r="AB26"/>
  <c r="Y29"/>
  <c r="Y21"/>
  <c r="E10" i="3"/>
  <c r="E21" s="1"/>
  <c r="AB22" i="8"/>
  <c r="E22"/>
  <c r="G22"/>
  <c r="Y22" s="1"/>
  <c r="AC14"/>
  <c r="S14"/>
  <c r="AB14" s="1"/>
  <c r="R14"/>
  <c r="Y14"/>
  <c r="D18" i="3"/>
  <c r="AB30" i="8"/>
  <c r="D20" i="3"/>
  <c r="AB32" i="8"/>
  <c r="AD24"/>
  <c r="H24"/>
  <c r="AC28"/>
  <c r="AD28"/>
  <c r="H28"/>
  <c r="AC30"/>
  <c r="H30"/>
  <c r="AD30"/>
  <c r="H32"/>
  <c r="AB38"/>
  <c r="E38"/>
  <c r="AD38" s="1"/>
  <c r="S16"/>
  <c r="AB16" s="1"/>
  <c r="AC16"/>
  <c r="R16"/>
  <c r="Y16"/>
  <c r="P10" i="3"/>
  <c r="N10"/>
  <c r="P12"/>
  <c r="N12"/>
  <c r="P14"/>
  <c r="N14"/>
  <c r="D16"/>
  <c r="AB28" i="8"/>
  <c r="AC26"/>
  <c r="AD26"/>
  <c r="H26"/>
  <c r="Z25"/>
  <c r="AA25"/>
  <c r="AC17"/>
  <c r="AD17"/>
  <c r="H17"/>
  <c r="Z11"/>
  <c r="Y11"/>
  <c r="AC11"/>
  <c r="S11"/>
  <c r="AB11" s="1"/>
  <c r="R11"/>
  <c r="U11" s="1"/>
  <c r="D9" i="3"/>
  <c r="S42" i="8"/>
  <c r="AB21"/>
  <c r="D11" i="3"/>
  <c r="AB23" i="8"/>
  <c r="D13" i="3"/>
  <c r="AB25" i="8"/>
  <c r="D19" i="3"/>
  <c r="AB31" i="8"/>
  <c r="Z14"/>
  <c r="AA14"/>
  <c r="Z15"/>
  <c r="AA15"/>
  <c r="AB24"/>
  <c r="Y13"/>
  <c r="AA20"/>
  <c r="AD20"/>
  <c r="AC13"/>
  <c r="R13"/>
  <c r="U13" s="1"/>
  <c r="S13"/>
  <c r="AB13" s="1"/>
  <c r="D15" i="3"/>
  <c r="AB27" i="8"/>
  <c r="AD27"/>
  <c r="AA27"/>
  <c r="D17" i="3"/>
  <c r="AB29" i="8"/>
  <c r="H13"/>
  <c r="Z12"/>
  <c r="AA12"/>
  <c r="Z23"/>
  <c r="AA23"/>
  <c r="Z18"/>
  <c r="AA18"/>
  <c r="Z16"/>
  <c r="AA16"/>
  <c r="Y44"/>
  <c r="AD13" l="1"/>
  <c r="Y48"/>
  <c r="AD16"/>
  <c r="U16"/>
  <c r="AD14"/>
  <c r="U14"/>
  <c r="AD15"/>
  <c r="U15"/>
  <c r="R47"/>
  <c r="U24"/>
  <c r="AB40"/>
  <c r="E40"/>
  <c r="AD40" s="1"/>
  <c r="AD32"/>
  <c r="AC48"/>
  <c r="Y46"/>
  <c r="AA13"/>
  <c r="Z13"/>
  <c r="P17" i="3"/>
  <c r="N17"/>
  <c r="P15"/>
  <c r="N15"/>
  <c r="P19"/>
  <c r="N19"/>
  <c r="P13"/>
  <c r="N13"/>
  <c r="P11"/>
  <c r="N11"/>
  <c r="AA11" i="8"/>
  <c r="AD11"/>
  <c r="Z26"/>
  <c r="AA26"/>
  <c r="P16" i="3"/>
  <c r="N16"/>
  <c r="Z30" i="8"/>
  <c r="AA30"/>
  <c r="Z28"/>
  <c r="AA28"/>
  <c r="Z24"/>
  <c r="AA24"/>
  <c r="AD22"/>
  <c r="AD46" s="1"/>
  <c r="AC22"/>
  <c r="H22"/>
  <c r="E47"/>
  <c r="AD48"/>
  <c r="AB44"/>
  <c r="P9" i="3"/>
  <c r="D21"/>
  <c r="N9"/>
  <c r="N22"/>
  <c r="Z17" i="8"/>
  <c r="AA17"/>
  <c r="Z32"/>
  <c r="AA32"/>
  <c r="P20" i="3"/>
  <c r="N20"/>
  <c r="P18"/>
  <c r="N18"/>
  <c r="AB48" i="8"/>
  <c r="AB46"/>
  <c r="N21" i="3"/>
  <c r="N24" s="1"/>
  <c r="AA48" i="8" l="1"/>
  <c r="Z22"/>
  <c r="Z46" s="1"/>
  <c r="AA22"/>
  <c r="AA46" s="1"/>
  <c r="Z48"/>
  <c r="AC44"/>
  <c r="AC46"/>
  <c r="P21" i="3"/>
  <c r="Z44" i="8" l="1"/>
</calcChain>
</file>

<file path=xl/comments1.xml><?xml version="1.0" encoding="utf-8"?>
<comments xmlns="http://schemas.openxmlformats.org/spreadsheetml/2006/main">
  <authors>
    <author>Rosi</author>
  </authors>
  <commentList>
    <comment ref="M7" authorId="0">
      <text>
        <r>
          <rPr>
            <b/>
            <sz val="9"/>
            <color indexed="81"/>
            <rFont val="Tahoma"/>
            <family val="2"/>
          </rPr>
          <t>Rosi:</t>
        </r>
        <r>
          <rPr>
            <sz val="9"/>
            <color indexed="81"/>
            <rFont val="Tahoma"/>
            <family val="2"/>
          </rPr>
          <t xml:space="preserve">
Use "actual" best fit equation but put in TMY3 CDD for the value of X to get new energy use by month
</t>
        </r>
      </text>
    </comment>
  </commentList>
</comments>
</file>

<file path=xl/sharedStrings.xml><?xml version="1.0" encoding="utf-8"?>
<sst xmlns="http://schemas.openxmlformats.org/spreadsheetml/2006/main" count="179" uniqueCount="113">
  <si>
    <t>HDD</t>
  </si>
  <si>
    <t>Electricity used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</si>
  <si>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</si>
  <si>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</si>
  <si>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</si>
  <si>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</si>
  <si>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</si>
  <si>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</si>
  <si>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</si>
  <si>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</si>
  <si>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</si>
  <si>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</si>
  <si>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Station ID: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</si>
  <si>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</si>
  <si>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</si>
  <si>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</si>
  <si>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</si>
  <si>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</si>
  <si>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</si>
  <si>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</si>
  <si>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</si>
  <si>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</si>
  <si>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</si>
  <si>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</si>
  <si>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</si>
  <si>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</si>
  <si>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source KWH</t>
  </si>
  <si>
    <t>Total kwh</t>
  </si>
  <si>
    <t>site</t>
  </si>
  <si>
    <t>source</t>
  </si>
  <si>
    <t>Total Mbtu</t>
  </si>
  <si>
    <t>Note: Electric CC does not capture thermal solar energy so neither do totals</t>
  </si>
  <si>
    <t>Retrofit Completed</t>
  </si>
  <si>
    <t>House</t>
  </si>
  <si>
    <t>Boston, MA, US (71.00W,42.36N)</t>
  </si>
  <si>
    <t>KBOS</t>
  </si>
  <si>
    <t>Quincy Single Family</t>
  </si>
  <si>
    <t>Hall</t>
  </si>
  <si>
    <t>Hall Electricity used</t>
  </si>
  <si>
    <t>Hall: From Emonitor website</t>
  </si>
  <si>
    <t>Usage from Emonitor</t>
  </si>
  <si>
    <t>(negative) kwh</t>
  </si>
  <si>
    <t>kwh</t>
  </si>
  <si>
    <t>gal</t>
  </si>
  <si>
    <t>Del date</t>
  </si>
  <si>
    <t>Heating fuel oil gallons to MMBtu</t>
  </si>
  <si>
    <t>oil source/site</t>
  </si>
  <si>
    <t>Gal of oil to MBTU</t>
  </si>
  <si>
    <t>Read date</t>
  </si>
  <si>
    <t>Pre-retrofit electricity usage from application</t>
  </si>
  <si>
    <t>Pre-retrofit Oil usage from application; this is not adequate because it doesn't cover a year</t>
  </si>
  <si>
    <t xml:space="preserve">From application; this is inadequate </t>
  </si>
  <si>
    <t xml:space="preserve">Use Beopt 1.3 projection of gal for pre-retrofit year: </t>
  </si>
  <si>
    <t xml:space="preserve">2012 Pre-retrofit FUEL OIL </t>
  </si>
  <si>
    <t>kwh for year</t>
  </si>
  <si>
    <t>04 - Energy Analysis_Hall/F - BEOPT parametric modeling/</t>
  </si>
  <si>
    <t>1-3 Hall AsBuilt.bpj in Individual project section of NGrid DER</t>
  </si>
  <si>
    <t>Therms</t>
  </si>
  <si>
    <t>Quincy Single Family Gas Usage</t>
  </si>
  <si>
    <t>Read Date</t>
  </si>
  <si>
    <t>therms</t>
  </si>
  <si>
    <t>therms/day</t>
  </si>
  <si>
    <t>Month ends</t>
  </si>
  <si>
    <t>First several months of data not aligned with month so calculated below</t>
  </si>
  <si>
    <t>Grid</t>
  </si>
  <si>
    <t xml:space="preserve">Total </t>
  </si>
  <si>
    <t>Pre-retrofit information from Application</t>
  </si>
  <si>
    <t>Totals 18 months</t>
  </si>
  <si>
    <t>Totals 12 months</t>
  </si>
  <si>
    <t>Totals 6 months</t>
  </si>
  <si>
    <t>Post Retrofit</t>
  </si>
  <si>
    <t xml:space="preserve">PRE_RETROFIT </t>
  </si>
  <si>
    <t>gal oil to Mbtu</t>
  </si>
  <si>
    <t>40 lb pellet bag to Mbtu</t>
  </si>
  <si>
    <t>heating oil source/site</t>
  </si>
  <si>
    <t>pellet source/site</t>
  </si>
  <si>
    <t xml:space="preserve">source </t>
  </si>
  <si>
    <t xml:space="preserve">Period </t>
  </si>
  <si>
    <t>oil used</t>
  </si>
  <si>
    <t>Mbtu</t>
  </si>
  <si>
    <t xml:space="preserve">Jan 09 - Dec 09 </t>
  </si>
  <si>
    <t>buyback (email)</t>
  </si>
  <si>
    <t>src if no PV</t>
  </si>
  <si>
    <t>buyback</t>
  </si>
  <si>
    <t>PV used</t>
  </si>
  <si>
    <t>production</t>
  </si>
  <si>
    <t xml:space="preserve">Solar thermal </t>
  </si>
  <si>
    <t>from Solarwave</t>
  </si>
  <si>
    <t>Linear Regression on Post Retrofit data</t>
  </si>
  <si>
    <t xml:space="preserve">Month </t>
  </si>
  <si>
    <t>Date</t>
  </si>
  <si>
    <t>Actual CDD</t>
  </si>
  <si>
    <t>Actual HDD</t>
  </si>
  <si>
    <t>Comments</t>
  </si>
  <si>
    <t>Predicted (BEopt 1.3) BOSTON</t>
  </si>
  <si>
    <t>BEopt 1.3 kWh</t>
  </si>
  <si>
    <t>BEopt 1.3 CDD</t>
  </si>
  <si>
    <t>BEopt 1.3 HDD</t>
  </si>
  <si>
    <t>Actual site energy</t>
  </si>
  <si>
    <t>Electricity</t>
  </si>
  <si>
    <t>Natural Gas</t>
  </si>
  <si>
    <t>MMBtu</t>
  </si>
  <si>
    <t>Normalized</t>
  </si>
  <si>
    <t>gas</t>
  </si>
  <si>
    <t>Source</t>
  </si>
  <si>
    <t>MIN USAGE IN 12 MOS (avg of 2 lowest months)</t>
  </si>
  <si>
    <t>MIN USAGE 6 mos</t>
  </si>
  <si>
    <t>12 mo MMBtu</t>
  </si>
  <si>
    <t>6 mo</t>
  </si>
  <si>
    <t>if no PV</t>
  </si>
  <si>
    <t>site kWh excluding gen + used</t>
  </si>
  <si>
    <t>12 mo</t>
  </si>
  <si>
    <t>with 1.0 conversion for site gen + used</t>
  </si>
</sst>
</file>

<file path=xl/styles.xml><?xml version="1.0" encoding="utf-8"?>
<styleSheet xmlns="http://schemas.openxmlformats.org/spreadsheetml/2006/main">
  <numFmts count="1">
    <numFmt numFmtId="164" formatCode="&quot;$&quot;#,##0.0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</cellStyleXfs>
  <cellXfs count="84">
    <xf numFmtId="0" fontId="0" fillId="0" borderId="0" xfId="0"/>
    <xf numFmtId="17" fontId="0" fillId="0" borderId="0" xfId="0" applyNumberFormat="1"/>
    <xf numFmtId="0" fontId="0" fillId="0" borderId="0" xfId="0" applyFill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0" fontId="18" fillId="33" borderId="10" xfId="42" applyNumberFormat="1" applyFont="1" applyFill="1" applyBorder="1" applyAlignment="1">
      <alignment wrapText="1"/>
    </xf>
    <xf numFmtId="49" fontId="18" fillId="33" borderId="10" xfId="42" applyNumberFormat="1" applyFont="1" applyFill="1" applyBorder="1" applyAlignment="1">
      <alignment wrapText="1"/>
    </xf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17" fontId="0" fillId="0" borderId="15" xfId="0" applyNumberFormat="1" applyBorder="1"/>
    <xf numFmtId="0" fontId="0" fillId="0" borderId="0" xfId="0" applyBorder="1"/>
    <xf numFmtId="0" fontId="0" fillId="0" borderId="16" xfId="0" applyBorder="1"/>
    <xf numFmtId="17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12" xfId="0" applyBorder="1"/>
    <xf numFmtId="0" fontId="0" fillId="0" borderId="15" xfId="0" applyBorder="1"/>
    <xf numFmtId="17" fontId="0" fillId="0" borderId="0" xfId="0" applyNumberFormat="1" applyBorder="1"/>
    <xf numFmtId="17" fontId="0" fillId="0" borderId="13" xfId="0" applyNumberFormat="1" applyBorder="1"/>
    <xf numFmtId="17" fontId="0" fillId="0" borderId="18" xfId="0" applyNumberFormat="1" applyBorder="1"/>
    <xf numFmtId="0" fontId="0" fillId="0" borderId="19" xfId="0" applyFill="1" applyBorder="1"/>
    <xf numFmtId="0" fontId="0" fillId="0" borderId="10" xfId="0" applyFill="1" applyBorder="1"/>
    <xf numFmtId="0" fontId="18" fillId="0" borderId="11" xfId="42" applyNumberFormat="1" applyFont="1" applyFill="1" applyBorder="1" applyAlignment="1">
      <alignment wrapText="1"/>
    </xf>
    <xf numFmtId="0" fontId="18" fillId="0" borderId="0" xfId="42" applyNumberFormat="1" applyFont="1" applyFill="1" applyBorder="1" applyAlignment="1">
      <alignment wrapText="1"/>
    </xf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0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0" fontId="0" fillId="0" borderId="17" xfId="0" applyBorder="1"/>
    <xf numFmtId="4" fontId="0" fillId="0" borderId="0" xfId="0" applyNumberFormat="1" applyBorder="1"/>
    <xf numFmtId="2" fontId="0" fillId="0" borderId="0" xfId="0" applyNumberFormat="1" applyFill="1" applyBorder="1"/>
    <xf numFmtId="14" fontId="19" fillId="0" borderId="20" xfId="0" applyNumberFormat="1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14" fontId="19" fillId="0" borderId="20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0" fontId="19" fillId="0" borderId="20" xfId="0" applyFont="1" applyBorder="1" applyAlignment="1">
      <alignment wrapText="1"/>
    </xf>
    <xf numFmtId="2" fontId="0" fillId="0" borderId="0" xfId="0" applyNumberFormat="1" applyFill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2" fontId="18" fillId="0" borderId="25" xfId="42" applyNumberFormat="1" applyFont="1" applyFill="1" applyBorder="1" applyAlignment="1">
      <alignment wrapText="1"/>
    </xf>
    <xf numFmtId="2" fontId="0" fillId="0" borderId="25" xfId="0" applyNumberFormat="1" applyBorder="1"/>
    <xf numFmtId="2" fontId="0" fillId="0" borderId="26" xfId="0" applyNumberFormat="1" applyBorder="1"/>
    <xf numFmtId="164" fontId="18" fillId="0" borderId="0" xfId="42" applyNumberFormat="1" applyFill="1" applyAlignment="1">
      <alignment horizontal="right"/>
    </xf>
    <xf numFmtId="164" fontId="20" fillId="0" borderId="18" xfId="42" applyNumberFormat="1" applyFont="1" applyFill="1" applyBorder="1" applyAlignment="1">
      <alignment horizontal="center" wrapText="1"/>
    </xf>
    <xf numFmtId="164" fontId="20" fillId="0" borderId="18" xfId="42" applyNumberFormat="1" applyFont="1" applyFill="1" applyBorder="1" applyAlignment="1">
      <alignment horizontal="right" wrapText="1"/>
    </xf>
    <xf numFmtId="0" fontId="18" fillId="0" borderId="0" xfId="42" applyNumberFormat="1" applyFill="1" applyAlignment="1"/>
    <xf numFmtId="0" fontId="21" fillId="0" borderId="0" xfId="0" applyFont="1"/>
    <xf numFmtId="0" fontId="18" fillId="0" borderId="18" xfId="42" applyNumberFormat="1" applyBorder="1" applyAlignment="1"/>
    <xf numFmtId="0" fontId="21" fillId="0" borderId="18" xfId="0" applyFont="1" applyBorder="1"/>
    <xf numFmtId="0" fontId="21" fillId="0" borderId="0" xfId="0" applyFont="1" applyBorder="1"/>
    <xf numFmtId="0" fontId="18" fillId="0" borderId="0" xfId="42" applyNumberFormat="1" applyBorder="1" applyAlignment="1"/>
    <xf numFmtId="0" fontId="18" fillId="0" borderId="0" xfId="42" applyNumberFormat="1" applyAlignment="1"/>
    <xf numFmtId="1" fontId="22" fillId="0" borderId="0" xfId="0" applyNumberFormat="1" applyFont="1"/>
    <xf numFmtId="10" fontId="0" fillId="0" borderId="0" xfId="0" applyNumberFormat="1"/>
    <xf numFmtId="2" fontId="22" fillId="34" borderId="0" xfId="0" applyNumberFormat="1" applyFont="1" applyFill="1" applyBorder="1"/>
    <xf numFmtId="2" fontId="18" fillId="0" borderId="0" xfId="4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18" fillId="0" borderId="0" xfId="42" applyNumberFormat="1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Quincy Single</a:t>
            </a:r>
            <a:r>
              <a:rPr lang="en-US" sz="1200" baseline="0"/>
              <a:t> Family Gas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511"/>
        </c:manualLayout>
      </c:layout>
      <c:barChart>
        <c:barDir val="col"/>
        <c:grouping val="clustered"/>
        <c:ser>
          <c:idx val="0"/>
          <c:order val="0"/>
          <c:tx>
            <c:strRef>
              <c:f>Gas!$B$5</c:f>
              <c:strCache>
                <c:ptCount val="1"/>
                <c:pt idx="0">
                  <c:v>Therms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Gas!$A$10:$A$28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Gas!$B$10:$B$28</c:f>
              <c:numCache>
                <c:formatCode>0.00</c:formatCode>
                <c:ptCount val="19"/>
                <c:pt idx="0">
                  <c:v>124.70479394449117</c:v>
                </c:pt>
                <c:pt idx="1">
                  <c:v>82.793103448275872</c:v>
                </c:pt>
                <c:pt idx="2">
                  <c:v>60.96551724137931</c:v>
                </c:pt>
                <c:pt idx="3" formatCode="General">
                  <c:v>37</c:v>
                </c:pt>
                <c:pt idx="4" formatCode="General">
                  <c:v>17</c:v>
                </c:pt>
                <c:pt idx="5" formatCode="General">
                  <c:v>12</c:v>
                </c:pt>
                <c:pt idx="6" formatCode="General">
                  <c:v>9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12</c:v>
                </c:pt>
                <c:pt idx="10" formatCode="General">
                  <c:v>24</c:v>
                </c:pt>
                <c:pt idx="11" formatCode="General">
                  <c:v>34</c:v>
                </c:pt>
                <c:pt idx="12" formatCode="General">
                  <c:v>47</c:v>
                </c:pt>
                <c:pt idx="13" formatCode="General">
                  <c:v>41</c:v>
                </c:pt>
                <c:pt idx="14" formatCode="General">
                  <c:v>39</c:v>
                </c:pt>
                <c:pt idx="15" formatCode="General">
                  <c:v>19</c:v>
                </c:pt>
                <c:pt idx="16" formatCode="General">
                  <c:v>15</c:v>
                </c:pt>
                <c:pt idx="17" formatCode="General">
                  <c:v>8</c:v>
                </c:pt>
                <c:pt idx="18" formatCode="General">
                  <c:v>6</c:v>
                </c:pt>
              </c:numCache>
            </c:numRef>
          </c:val>
        </c:ser>
        <c:ser>
          <c:idx val="1"/>
          <c:order val="1"/>
          <c:tx>
            <c:strRef>
              <c:f>Gas!#REF!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Gas!$A$10:$A$28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Gas!#REF!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202"/>
        <c:overlap val="100"/>
        <c:axId val="108323968"/>
        <c:axId val="109183360"/>
      </c:barChart>
      <c:lineChart>
        <c:grouping val="standard"/>
        <c:ser>
          <c:idx val="2"/>
          <c:order val="2"/>
          <c:tx>
            <c:strRef>
              <c:f>Gas!$C$5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Gas!$A$10:$A$15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Gas!$C$10:$C$28</c:f>
              <c:numCache>
                <c:formatCode>General</c:formatCode>
                <c:ptCount val="19"/>
                <c:pt idx="0">
                  <c:v>1154</c:v>
                </c:pt>
                <c:pt idx="1">
                  <c:v>964</c:v>
                </c:pt>
                <c:pt idx="2">
                  <c:v>813</c:v>
                </c:pt>
                <c:pt idx="3">
                  <c:v>468</c:v>
                </c:pt>
                <c:pt idx="4">
                  <c:v>255</c:v>
                </c:pt>
                <c:pt idx="5">
                  <c:v>75</c:v>
                </c:pt>
                <c:pt idx="6">
                  <c:v>0</c:v>
                </c:pt>
                <c:pt idx="7">
                  <c:v>2</c:v>
                </c:pt>
                <c:pt idx="8">
                  <c:v>57</c:v>
                </c:pt>
                <c:pt idx="9">
                  <c:v>267</c:v>
                </c:pt>
                <c:pt idx="10">
                  <c:v>449</c:v>
                </c:pt>
                <c:pt idx="11">
                  <c:v>764</c:v>
                </c:pt>
                <c:pt idx="12">
                  <c:v>959</c:v>
                </c:pt>
                <c:pt idx="13">
                  <c:v>801</c:v>
                </c:pt>
                <c:pt idx="14">
                  <c:v>608</c:v>
                </c:pt>
                <c:pt idx="15">
                  <c:v>398</c:v>
                </c:pt>
                <c:pt idx="16">
                  <c:v>204</c:v>
                </c:pt>
                <c:pt idx="17">
                  <c:v>94</c:v>
                </c:pt>
                <c:pt idx="18">
                  <c:v>2</c:v>
                </c:pt>
              </c:numCache>
            </c:numRef>
          </c:val>
        </c:ser>
        <c:marker val="1"/>
        <c:axId val="108323968"/>
        <c:axId val="109183360"/>
      </c:lineChart>
      <c:lineChart>
        <c:grouping val="standard"/>
        <c:ser>
          <c:idx val="3"/>
          <c:order val="3"/>
          <c:tx>
            <c:strRef>
              <c:f>Gas!$D$5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Gas!$A$10:$A$15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Gas!$D$10:$D$28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50</c:v>
                </c:pt>
                <c:pt idx="5">
                  <c:v>130</c:v>
                </c:pt>
                <c:pt idx="6">
                  <c:v>374</c:v>
                </c:pt>
                <c:pt idx="7">
                  <c:v>260</c:v>
                </c:pt>
                <c:pt idx="8">
                  <c:v>115</c:v>
                </c:pt>
                <c:pt idx="9">
                  <c:v>29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18</c:v>
                </c:pt>
                <c:pt idx="15">
                  <c:v>25</c:v>
                </c:pt>
                <c:pt idx="16">
                  <c:v>42</c:v>
                </c:pt>
                <c:pt idx="17">
                  <c:v>142</c:v>
                </c:pt>
                <c:pt idx="18">
                  <c:v>304</c:v>
                </c:pt>
              </c:numCache>
            </c:numRef>
          </c:val>
        </c:ser>
        <c:marker val="1"/>
        <c:axId val="109781376"/>
        <c:axId val="109193472"/>
      </c:lineChart>
      <c:dateAx>
        <c:axId val="108323968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109183360"/>
        <c:crosses val="autoZero"/>
        <c:auto val="1"/>
        <c:lblOffset val="100"/>
        <c:baseTimeUnit val="months"/>
      </c:dateAx>
      <c:valAx>
        <c:axId val="1091833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</c:title>
        <c:numFmt formatCode="0.00" sourceLinked="1"/>
        <c:tickLblPos val="nextTo"/>
        <c:crossAx val="108323968"/>
        <c:crosses val="autoZero"/>
        <c:crossBetween val="between"/>
        <c:majorUnit val="200"/>
      </c:valAx>
      <c:valAx>
        <c:axId val="109193472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09781376"/>
        <c:crosses val="max"/>
        <c:crossBetween val="between"/>
        <c:majorUnit val="20"/>
      </c:valAx>
      <c:dateAx>
        <c:axId val="109781376"/>
        <c:scaling>
          <c:orientation val="minMax"/>
        </c:scaling>
        <c:delete val="1"/>
        <c:axPos val="b"/>
        <c:numFmt formatCode="mmm-yy" sourceLinked="1"/>
        <c:tickLblPos val="none"/>
        <c:crossAx val="109193472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62"/>
          <c:y val="0.82399778974995885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Quincy Single</a:t>
            </a:r>
            <a:r>
              <a:rPr lang="en-US" sz="1200" baseline="0"/>
              <a:t> Family Electrical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489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Elec!$D$10:$D$28</c:f>
              <c:numCache>
                <c:formatCode>General</c:formatCode>
                <c:ptCount val="19"/>
                <c:pt idx="0">
                  <c:v>875</c:v>
                </c:pt>
                <c:pt idx="1">
                  <c:v>686</c:v>
                </c:pt>
                <c:pt idx="2">
                  <c:v>801</c:v>
                </c:pt>
                <c:pt idx="3">
                  <c:v>712</c:v>
                </c:pt>
                <c:pt idx="4">
                  <c:v>825</c:v>
                </c:pt>
                <c:pt idx="5">
                  <c:v>885</c:v>
                </c:pt>
                <c:pt idx="6">
                  <c:v>1112</c:v>
                </c:pt>
                <c:pt idx="7">
                  <c:v>953</c:v>
                </c:pt>
                <c:pt idx="8">
                  <c:v>804</c:v>
                </c:pt>
                <c:pt idx="9">
                  <c:v>710</c:v>
                </c:pt>
                <c:pt idx="10">
                  <c:v>731</c:v>
                </c:pt>
                <c:pt idx="11">
                  <c:v>899</c:v>
                </c:pt>
                <c:pt idx="12">
                  <c:v>854</c:v>
                </c:pt>
                <c:pt idx="13">
                  <c:v>652</c:v>
                </c:pt>
                <c:pt idx="14">
                  <c:v>651</c:v>
                </c:pt>
                <c:pt idx="15">
                  <c:v>655</c:v>
                </c:pt>
                <c:pt idx="16">
                  <c:v>696</c:v>
                </c:pt>
                <c:pt idx="17">
                  <c:v>883</c:v>
                </c:pt>
                <c:pt idx="18">
                  <c:v>1406</c:v>
                </c:pt>
              </c:numCache>
            </c:numRef>
          </c:val>
        </c:ser>
        <c:ser>
          <c:idx val="1"/>
          <c:order val="1"/>
          <c:tx>
            <c:strRef>
              <c:f>Elec!$E$5</c:f>
              <c:strCache>
                <c:ptCount val="1"/>
                <c:pt idx="0">
                  <c:v>PV Production (kWh)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Elec!$E$10:$E$28</c:f>
              <c:numCache>
                <c:formatCode>General</c:formatCode>
                <c:ptCount val="19"/>
                <c:pt idx="1">
                  <c:v>-312</c:v>
                </c:pt>
                <c:pt idx="2">
                  <c:v>-765</c:v>
                </c:pt>
                <c:pt idx="3">
                  <c:v>-667</c:v>
                </c:pt>
                <c:pt idx="4">
                  <c:v>-721</c:v>
                </c:pt>
                <c:pt idx="5">
                  <c:v>-795</c:v>
                </c:pt>
                <c:pt idx="6">
                  <c:v>-886</c:v>
                </c:pt>
                <c:pt idx="7">
                  <c:v>-800</c:v>
                </c:pt>
                <c:pt idx="8">
                  <c:v>-711</c:v>
                </c:pt>
                <c:pt idx="9">
                  <c:v>-645</c:v>
                </c:pt>
                <c:pt idx="10">
                  <c:v>-553</c:v>
                </c:pt>
                <c:pt idx="11">
                  <c:v>-408</c:v>
                </c:pt>
                <c:pt idx="12">
                  <c:v>-514</c:v>
                </c:pt>
                <c:pt idx="13">
                  <c:v>-651</c:v>
                </c:pt>
                <c:pt idx="14">
                  <c:v>-719</c:v>
                </c:pt>
                <c:pt idx="15">
                  <c:v>-894</c:v>
                </c:pt>
                <c:pt idx="16">
                  <c:v>-696</c:v>
                </c:pt>
                <c:pt idx="17">
                  <c:v>-782</c:v>
                </c:pt>
                <c:pt idx="18">
                  <c:v>-850</c:v>
                </c:pt>
              </c:numCache>
            </c:numRef>
          </c:val>
        </c:ser>
        <c:gapWidth val="202"/>
        <c:overlap val="100"/>
        <c:axId val="110166400"/>
        <c:axId val="110172032"/>
      </c:barChart>
      <c:lineChart>
        <c:grouping val="standard"/>
        <c:ser>
          <c:idx val="2"/>
          <c:order val="2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Elec!$F$10:$F$28</c:f>
              <c:numCache>
                <c:formatCode>General</c:formatCode>
                <c:ptCount val="19"/>
                <c:pt idx="0">
                  <c:v>1154</c:v>
                </c:pt>
                <c:pt idx="1">
                  <c:v>964</c:v>
                </c:pt>
                <c:pt idx="2">
                  <c:v>813</c:v>
                </c:pt>
                <c:pt idx="3">
                  <c:v>468</c:v>
                </c:pt>
                <c:pt idx="4">
                  <c:v>255</c:v>
                </c:pt>
                <c:pt idx="5">
                  <c:v>75</c:v>
                </c:pt>
                <c:pt idx="6">
                  <c:v>0</c:v>
                </c:pt>
                <c:pt idx="7">
                  <c:v>2</c:v>
                </c:pt>
                <c:pt idx="8">
                  <c:v>57</c:v>
                </c:pt>
                <c:pt idx="9">
                  <c:v>267</c:v>
                </c:pt>
                <c:pt idx="10">
                  <c:v>449</c:v>
                </c:pt>
                <c:pt idx="11">
                  <c:v>764</c:v>
                </c:pt>
                <c:pt idx="12">
                  <c:v>959</c:v>
                </c:pt>
                <c:pt idx="13">
                  <c:v>801</c:v>
                </c:pt>
                <c:pt idx="14">
                  <c:v>608</c:v>
                </c:pt>
                <c:pt idx="15">
                  <c:v>398</c:v>
                </c:pt>
                <c:pt idx="16">
                  <c:v>204</c:v>
                </c:pt>
                <c:pt idx="17">
                  <c:v>94</c:v>
                </c:pt>
                <c:pt idx="18">
                  <c:v>2</c:v>
                </c:pt>
              </c:numCache>
            </c:numRef>
          </c:val>
        </c:ser>
        <c:marker val="1"/>
        <c:axId val="110166400"/>
        <c:axId val="110172032"/>
      </c:lineChart>
      <c:lineChart>
        <c:grouping val="standard"/>
        <c:ser>
          <c:idx val="3"/>
          <c:order val="3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Elec!$G$10:$G$28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50</c:v>
                </c:pt>
                <c:pt idx="5">
                  <c:v>130</c:v>
                </c:pt>
                <c:pt idx="6">
                  <c:v>374</c:v>
                </c:pt>
                <c:pt idx="7">
                  <c:v>260</c:v>
                </c:pt>
                <c:pt idx="8">
                  <c:v>115</c:v>
                </c:pt>
                <c:pt idx="9">
                  <c:v>29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18</c:v>
                </c:pt>
                <c:pt idx="15">
                  <c:v>25</c:v>
                </c:pt>
                <c:pt idx="16">
                  <c:v>42</c:v>
                </c:pt>
                <c:pt idx="17">
                  <c:v>142</c:v>
                </c:pt>
                <c:pt idx="18">
                  <c:v>304</c:v>
                </c:pt>
              </c:numCache>
            </c:numRef>
          </c:val>
        </c:ser>
        <c:marker val="1"/>
        <c:axId val="110562688"/>
        <c:axId val="110559232"/>
      </c:lineChart>
      <c:dateAx>
        <c:axId val="110166400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110172032"/>
        <c:crosses val="autoZero"/>
        <c:auto val="1"/>
        <c:lblOffset val="100"/>
        <c:baseTimeUnit val="months"/>
      </c:dateAx>
      <c:valAx>
        <c:axId val="110172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layout/>
        </c:title>
        <c:numFmt formatCode="General" sourceLinked="1"/>
        <c:tickLblPos val="nextTo"/>
        <c:crossAx val="110166400"/>
        <c:crosses val="autoZero"/>
        <c:crossBetween val="between"/>
        <c:majorUnit val="200"/>
      </c:valAx>
      <c:valAx>
        <c:axId val="110559232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layout/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10562688"/>
        <c:crosses val="max"/>
        <c:crossBetween val="between"/>
        <c:majorUnit val="20"/>
      </c:valAx>
      <c:dateAx>
        <c:axId val="110562688"/>
        <c:scaling>
          <c:orientation val="minMax"/>
        </c:scaling>
        <c:delete val="1"/>
        <c:axPos val="b"/>
        <c:numFmt formatCode="mmm-yy" sourceLinked="1"/>
        <c:tickLblPos val="none"/>
        <c:crossAx val="110559232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59"/>
          <c:y val="0.82399778974995908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254396325459318"/>
          <c:y val="5.1400554097404488E-2"/>
          <c:w val="0.75563429571303653"/>
          <c:h val="0.63597878390201223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Use'!$J$21:$J$32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'Energy Use'!$AD$21:$AD$32</c:f>
              <c:numCache>
                <c:formatCode>0.00</c:formatCode>
                <c:ptCount val="12"/>
                <c:pt idx="0">
                  <c:v>11.701247259999999</c:v>
                </c:pt>
                <c:pt idx="1">
                  <c:v>10.107433679999998</c:v>
                </c:pt>
                <c:pt idx="2">
                  <c:v>9.3499881999999985</c:v>
                </c:pt>
                <c:pt idx="3">
                  <c:v>10.845776020000001</c:v>
                </c:pt>
                <c:pt idx="4">
                  <c:v>13.807878580000001</c:v>
                </c:pt>
                <c:pt idx="5">
                  <c:v>14.656004679999999</c:v>
                </c:pt>
                <c:pt idx="6">
                  <c:v>11.72512184</c:v>
                </c:pt>
                <c:pt idx="7">
                  <c:v>11.504322419999998</c:v>
                </c:pt>
                <c:pt idx="8">
                  <c:v>9.4559201000000002</c:v>
                </c:pt>
                <c:pt idx="9">
                  <c:v>9.5044963199999994</c:v>
                </c:pt>
                <c:pt idx="10">
                  <c:v>10.903287859999999</c:v>
                </c:pt>
                <c:pt idx="11">
                  <c:v>16.655784519999997</c:v>
                </c:pt>
              </c:numCache>
            </c:numRef>
          </c:val>
        </c:ser>
        <c:ser>
          <c:idx val="3"/>
          <c:order val="3"/>
          <c:tx>
            <c:v>Source MMBtu w/ PV credit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'Energy Use'!$AC$21:$AC$32</c:f>
              <c:numCache>
                <c:formatCode>0.00</c:formatCode>
                <c:ptCount val="12"/>
                <c:pt idx="0">
                  <c:v>5.31211126</c:v>
                </c:pt>
                <c:pt idx="1">
                  <c:v>4.4290890599999999</c:v>
                </c:pt>
                <c:pt idx="2">
                  <c:v>4.1987473</c:v>
                </c:pt>
                <c:pt idx="3">
                  <c:v>6.42928576</c:v>
                </c:pt>
                <c:pt idx="4">
                  <c:v>10.549419219999999</c:v>
                </c:pt>
                <c:pt idx="5">
                  <c:v>10.550984799999998</c:v>
                </c:pt>
                <c:pt idx="6">
                  <c:v>6.5259624199999999</c:v>
                </c:pt>
                <c:pt idx="7">
                  <c:v>5.5300024400000005</c:v>
                </c:pt>
                <c:pt idx="8">
                  <c:v>1.5003536200000001</c:v>
                </c:pt>
                <c:pt idx="9">
                  <c:v>3.945948</c:v>
                </c:pt>
                <c:pt idx="10">
                  <c:v>4.657907419999999</c:v>
                </c:pt>
                <c:pt idx="11">
                  <c:v>9.8673275199999981</c:v>
                </c:pt>
              </c:numCache>
            </c:numRef>
          </c:val>
        </c:ser>
        <c:axId val="115965312"/>
        <c:axId val="116229248"/>
      </c:barChart>
      <c:lineChart>
        <c:grouping val="standard"/>
        <c:ser>
          <c:idx val="1"/>
          <c:order val="1"/>
          <c:tx>
            <c:v>HDD</c:v>
          </c:tx>
          <c:val>
            <c:numRef>
              <c:f>HDD!$B$21:$B$32</c:f>
              <c:numCache>
                <c:formatCode>General</c:formatCode>
                <c:ptCount val="12"/>
                <c:pt idx="0">
                  <c:v>2</c:v>
                </c:pt>
                <c:pt idx="1">
                  <c:v>57</c:v>
                </c:pt>
                <c:pt idx="2">
                  <c:v>267</c:v>
                </c:pt>
                <c:pt idx="3">
                  <c:v>449</c:v>
                </c:pt>
                <c:pt idx="4">
                  <c:v>764</c:v>
                </c:pt>
                <c:pt idx="5">
                  <c:v>959</c:v>
                </c:pt>
                <c:pt idx="6">
                  <c:v>801</c:v>
                </c:pt>
                <c:pt idx="7">
                  <c:v>608</c:v>
                </c:pt>
                <c:pt idx="8">
                  <c:v>398</c:v>
                </c:pt>
                <c:pt idx="9">
                  <c:v>204</c:v>
                </c:pt>
                <c:pt idx="10">
                  <c:v>94</c:v>
                </c:pt>
                <c:pt idx="11">
                  <c:v>2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CDD!$B$21:$B$32</c:f>
              <c:numCache>
                <c:formatCode>General</c:formatCode>
                <c:ptCount val="12"/>
                <c:pt idx="0">
                  <c:v>260</c:v>
                </c:pt>
                <c:pt idx="1">
                  <c:v>115</c:v>
                </c:pt>
                <c:pt idx="2">
                  <c:v>29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  <c:pt idx="8">
                  <c:v>25</c:v>
                </c:pt>
                <c:pt idx="9">
                  <c:v>42</c:v>
                </c:pt>
                <c:pt idx="10">
                  <c:v>142</c:v>
                </c:pt>
                <c:pt idx="11">
                  <c:v>304</c:v>
                </c:pt>
              </c:numCache>
            </c:numRef>
          </c:val>
        </c:ser>
        <c:marker val="1"/>
        <c:axId val="119522048"/>
        <c:axId val="116231168"/>
      </c:lineChart>
      <c:dateAx>
        <c:axId val="115965312"/>
        <c:scaling>
          <c:orientation val="minMax"/>
        </c:scaling>
        <c:axPos val="b"/>
        <c:numFmt formatCode="mmm-yy" sourceLinked="1"/>
        <c:tickLblPos val="nextTo"/>
        <c:crossAx val="116229248"/>
        <c:crosses val="autoZero"/>
        <c:auto val="1"/>
        <c:lblOffset val="100"/>
      </c:dateAx>
      <c:valAx>
        <c:axId val="116229248"/>
        <c:scaling>
          <c:orientation val="minMax"/>
        </c:scaling>
        <c:axPos val="l"/>
        <c:majorGridlines/>
        <c:numFmt formatCode="0" sourceLinked="0"/>
        <c:tickLblPos val="nextTo"/>
        <c:crossAx val="115965312"/>
        <c:crosses val="autoZero"/>
        <c:crossBetween val="between"/>
      </c:valAx>
      <c:valAx>
        <c:axId val="116231168"/>
        <c:scaling>
          <c:orientation val="minMax"/>
        </c:scaling>
        <c:axPos val="r"/>
        <c:numFmt formatCode="General" sourceLinked="1"/>
        <c:tickLblPos val="nextTo"/>
        <c:crossAx val="119522048"/>
        <c:crosses val="max"/>
        <c:crossBetween val="between"/>
      </c:valAx>
      <c:catAx>
        <c:axId val="119522048"/>
        <c:scaling>
          <c:orientation val="minMax"/>
        </c:scaling>
        <c:delete val="1"/>
        <c:axPos val="b"/>
        <c:tickLblPos val="none"/>
        <c:crossAx val="116231168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17633333333333376"/>
          <c:y val="2.7777777777777912E-2"/>
        </c:manualLayout>
      </c:layout>
    </c:title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'Weather Lin Regr Analysis'!$G$9:$G$20</c:f>
              <c:numCache>
                <c:formatCode>General</c:formatCode>
                <c:ptCount val="12"/>
                <c:pt idx="0">
                  <c:v>2</c:v>
                </c:pt>
                <c:pt idx="1">
                  <c:v>57</c:v>
                </c:pt>
                <c:pt idx="2">
                  <c:v>267</c:v>
                </c:pt>
                <c:pt idx="3">
                  <c:v>449</c:v>
                </c:pt>
                <c:pt idx="4">
                  <c:v>764</c:v>
                </c:pt>
                <c:pt idx="5">
                  <c:v>959</c:v>
                </c:pt>
                <c:pt idx="6">
                  <c:v>801</c:v>
                </c:pt>
                <c:pt idx="7">
                  <c:v>608</c:v>
                </c:pt>
                <c:pt idx="8">
                  <c:v>398</c:v>
                </c:pt>
                <c:pt idx="9">
                  <c:v>204</c:v>
                </c:pt>
                <c:pt idx="10">
                  <c:v>94</c:v>
                </c:pt>
                <c:pt idx="11">
                  <c:v>2</c:v>
                </c:pt>
              </c:numCache>
            </c:numRef>
          </c:xVal>
          <c:yVal>
            <c:numRef>
              <c:f>'Weather Lin Regr Analysis'!$E$9:$E$20</c:f>
              <c:numCache>
                <c:formatCode>0.00</c:formatCode>
                <c:ptCount val="12"/>
                <c:pt idx="0">
                  <c:v>0.8</c:v>
                </c:pt>
                <c:pt idx="1">
                  <c:v>0.9</c:v>
                </c:pt>
                <c:pt idx="2">
                  <c:v>1.2000000000000002</c:v>
                </c:pt>
                <c:pt idx="3">
                  <c:v>2.4000000000000004</c:v>
                </c:pt>
                <c:pt idx="4">
                  <c:v>3.4000000000000004</c:v>
                </c:pt>
                <c:pt idx="5">
                  <c:v>4.7</c:v>
                </c:pt>
                <c:pt idx="6">
                  <c:v>4.1000000000000005</c:v>
                </c:pt>
                <c:pt idx="7">
                  <c:v>3.9000000000000004</c:v>
                </c:pt>
                <c:pt idx="8">
                  <c:v>1.9000000000000001</c:v>
                </c:pt>
                <c:pt idx="9">
                  <c:v>1.5</c:v>
                </c:pt>
                <c:pt idx="10">
                  <c:v>0.8</c:v>
                </c:pt>
                <c:pt idx="11">
                  <c:v>0.60000000000000009</c:v>
                </c:pt>
              </c:numCache>
            </c:numRef>
          </c:yVal>
        </c:ser>
        <c:axId val="123822080"/>
        <c:axId val="123823616"/>
      </c:scatterChart>
      <c:valAx>
        <c:axId val="123822080"/>
        <c:scaling>
          <c:orientation val="minMax"/>
        </c:scaling>
        <c:axPos val="b"/>
        <c:numFmt formatCode="General" sourceLinked="1"/>
        <c:tickLblPos val="nextTo"/>
        <c:crossAx val="123823616"/>
        <c:crosses val="autoZero"/>
        <c:crossBetween val="midCat"/>
      </c:valAx>
      <c:valAx>
        <c:axId val="123823616"/>
        <c:scaling>
          <c:orientation val="minMax"/>
        </c:scaling>
        <c:axPos val="l"/>
        <c:majorGridlines/>
        <c:numFmt formatCode="0.00" sourceLinked="1"/>
        <c:tickLblPos val="nextTo"/>
        <c:crossAx val="1238220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</xdr:row>
      <xdr:rowOff>160020</xdr:rowOff>
    </xdr:from>
    <xdr:to>
      <xdr:col>14</xdr:col>
      <xdr:colOff>548640</xdr:colOff>
      <xdr:row>25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160020</xdr:rowOff>
    </xdr:from>
    <xdr:to>
      <xdr:col>17</xdr:col>
      <xdr:colOff>548640</xdr:colOff>
      <xdr:row>25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48</xdr:row>
      <xdr:rowOff>114300</xdr:rowOff>
    </xdr:from>
    <xdr:to>
      <xdr:col>19</xdr:col>
      <xdr:colOff>123825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0.00417</cdr:x>
      <cdr:y>0</cdr:y>
    </cdr:from>
    <cdr:to>
      <cdr:x>0.05417</cdr:x>
      <cdr:y>0.76736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19161" y="938213"/>
          <a:ext cx="2105025" cy="228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 Energy MMBtu (monthly)</a:t>
          </a:r>
        </a:p>
      </cdr:txBody>
    </cdr:sp>
  </cdr:relSizeAnchor>
  <cdr:relSizeAnchor xmlns:cdr="http://schemas.openxmlformats.org/drawingml/2006/chartDrawing">
    <cdr:from>
      <cdr:x>0.93958</cdr:x>
      <cdr:y>0</cdr:y>
    </cdr:from>
    <cdr:to>
      <cdr:x>0.99792</cdr:x>
      <cdr:y>0.49653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3748089" y="547689"/>
          <a:ext cx="1362075" cy="266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 &amp; CDD (65F)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22</xdr:row>
      <xdr:rowOff>85725</xdr:rowOff>
    </xdr:from>
    <xdr:to>
      <xdr:col>11</xdr:col>
      <xdr:colOff>66675</xdr:colOff>
      <xdr:row>36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2"/>
  <sheetViews>
    <sheetView topLeftCell="A12" workbookViewId="0">
      <selection activeCell="U41" sqref="U41"/>
    </sheetView>
  </sheetViews>
  <sheetFormatPr defaultRowHeight="15"/>
  <sheetData>
    <row r="1" spans="1:19">
      <c r="A1" s="26"/>
      <c r="B1" s="26"/>
      <c r="C1" s="26"/>
      <c r="D1" s="26"/>
    </row>
    <row r="2" spans="1:19">
      <c r="A2" s="33"/>
      <c r="B2" s="39"/>
      <c r="C2" s="4"/>
      <c r="D2" s="39"/>
    </row>
    <row r="3" spans="1:19">
      <c r="A3" s="26"/>
      <c r="B3" s="39"/>
      <c r="C3" s="26"/>
      <c r="D3" s="39"/>
    </row>
    <row r="4" spans="1:19">
      <c r="A4" s="26"/>
      <c r="B4" s="26" t="s">
        <v>36</v>
      </c>
      <c r="C4" s="26"/>
      <c r="D4" s="26"/>
    </row>
    <row r="5" spans="1:19">
      <c r="B5" s="15" t="s">
        <v>66</v>
      </c>
    </row>
    <row r="6" spans="1:19">
      <c r="A6" s="15"/>
      <c r="B6" s="15"/>
      <c r="C6" s="15"/>
      <c r="D6" s="15"/>
      <c r="E6" s="15"/>
      <c r="F6" s="15"/>
      <c r="G6" s="15"/>
      <c r="H6" s="15"/>
    </row>
    <row r="7" spans="1:19">
      <c r="A7" s="15"/>
      <c r="B7" s="31"/>
      <c r="C7" s="23" t="s">
        <v>49</v>
      </c>
      <c r="D7" s="23"/>
      <c r="E7" s="23"/>
      <c r="F7" s="23"/>
      <c r="G7" s="23"/>
      <c r="H7" s="24"/>
      <c r="I7" s="31"/>
      <c r="J7" s="23"/>
      <c r="K7" s="23"/>
      <c r="L7" s="23" t="s">
        <v>53</v>
      </c>
      <c r="M7" s="23"/>
      <c r="N7" s="23"/>
      <c r="O7" s="23"/>
      <c r="P7" s="23"/>
      <c r="Q7" s="23"/>
      <c r="R7" s="23"/>
      <c r="S7" s="24"/>
    </row>
    <row r="8" spans="1:19">
      <c r="A8" s="15"/>
      <c r="B8" s="32"/>
      <c r="C8" s="26" t="s">
        <v>13</v>
      </c>
      <c r="D8" s="26"/>
      <c r="E8" s="26" t="s">
        <v>42</v>
      </c>
      <c r="F8" s="26"/>
      <c r="G8" s="26"/>
      <c r="H8" s="27"/>
      <c r="I8" s="32" t="s">
        <v>50</v>
      </c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>
      <c r="A9" s="15"/>
      <c r="B9" s="32" t="s">
        <v>48</v>
      </c>
      <c r="C9" s="26"/>
      <c r="D9" s="26"/>
      <c r="E9" s="26"/>
      <c r="F9" s="26"/>
      <c r="G9" s="26"/>
      <c r="H9" s="27"/>
      <c r="I9" s="32"/>
      <c r="J9" s="26"/>
      <c r="K9" s="26"/>
      <c r="L9" s="26"/>
      <c r="M9" s="26"/>
      <c r="N9" s="26"/>
      <c r="O9" s="26" t="s">
        <v>45</v>
      </c>
      <c r="P9" s="26"/>
      <c r="Q9" s="26"/>
      <c r="R9" s="26"/>
      <c r="S9" s="27">
        <f>138.695/1000</f>
        <v>0.13869499999999998</v>
      </c>
    </row>
    <row r="10" spans="1:19">
      <c r="A10" s="15"/>
      <c r="B10" s="22">
        <v>39814</v>
      </c>
      <c r="C10" s="34">
        <v>39783</v>
      </c>
      <c r="D10" s="23"/>
      <c r="E10" s="24">
        <v>1441</v>
      </c>
      <c r="F10" s="26"/>
      <c r="G10" s="26"/>
      <c r="H10" s="27"/>
      <c r="I10" s="31" t="s">
        <v>51</v>
      </c>
      <c r="J10" s="23"/>
      <c r="K10" s="23"/>
      <c r="L10" s="24"/>
      <c r="M10" s="26"/>
      <c r="N10" s="26"/>
      <c r="O10" s="26"/>
      <c r="P10" s="26"/>
      <c r="Q10" s="26"/>
      <c r="R10" s="26"/>
      <c r="S10" s="27"/>
    </row>
    <row r="11" spans="1:19">
      <c r="A11" s="15"/>
      <c r="B11" s="25">
        <v>39845</v>
      </c>
      <c r="C11" s="33">
        <v>39814</v>
      </c>
      <c r="D11" s="26"/>
      <c r="E11" s="27">
        <v>1095</v>
      </c>
      <c r="F11" s="26"/>
      <c r="G11" s="26"/>
      <c r="H11" s="27"/>
      <c r="I11" s="31" t="s">
        <v>44</v>
      </c>
      <c r="J11" s="24" t="s">
        <v>43</v>
      </c>
      <c r="K11" s="26"/>
      <c r="L11" s="27"/>
      <c r="M11" s="26"/>
      <c r="N11" s="26"/>
      <c r="O11" s="26"/>
      <c r="P11" s="26"/>
      <c r="Q11" s="26"/>
      <c r="R11" s="26"/>
      <c r="S11" s="27"/>
    </row>
    <row r="12" spans="1:19">
      <c r="A12" s="15"/>
      <c r="B12" s="25">
        <v>39873</v>
      </c>
      <c r="C12" s="33">
        <v>39845</v>
      </c>
      <c r="D12" s="26"/>
      <c r="E12" s="27">
        <v>1011</v>
      </c>
      <c r="F12" s="26"/>
      <c r="G12" s="26"/>
      <c r="H12" s="27"/>
      <c r="I12" s="32"/>
      <c r="J12" s="27"/>
      <c r="K12" s="26"/>
      <c r="L12" s="27"/>
      <c r="M12" s="26"/>
      <c r="N12" s="26" t="s">
        <v>52</v>
      </c>
      <c r="O12" s="26"/>
      <c r="P12" s="26"/>
      <c r="Q12" s="26"/>
      <c r="R12" s="26"/>
      <c r="S12" s="27">
        <v>1301</v>
      </c>
    </row>
    <row r="13" spans="1:19">
      <c r="A13" s="15"/>
      <c r="B13" s="25">
        <v>39904</v>
      </c>
      <c r="C13" s="33">
        <v>39873</v>
      </c>
      <c r="D13" s="26"/>
      <c r="E13" s="27">
        <v>1114</v>
      </c>
      <c r="F13" s="26"/>
      <c r="G13" s="26"/>
      <c r="H13" s="27"/>
      <c r="I13" s="25">
        <v>39486</v>
      </c>
      <c r="J13" s="27">
        <v>106</v>
      </c>
      <c r="K13" s="26"/>
      <c r="L13" s="27"/>
      <c r="M13" s="26"/>
      <c r="N13" s="26" t="s">
        <v>55</v>
      </c>
      <c r="O13" s="26"/>
      <c r="P13" s="26"/>
      <c r="Q13" s="26"/>
      <c r="R13" s="26"/>
      <c r="S13" s="27"/>
    </row>
    <row r="14" spans="1:19">
      <c r="A14" s="15"/>
      <c r="B14" s="25">
        <v>39934</v>
      </c>
      <c r="C14" s="33">
        <v>39904</v>
      </c>
      <c r="D14" s="26"/>
      <c r="E14" s="27">
        <v>834</v>
      </c>
      <c r="F14" s="26"/>
      <c r="G14" s="26"/>
      <c r="H14" s="27"/>
      <c r="I14" s="25">
        <v>39854</v>
      </c>
      <c r="J14" s="27">
        <v>170</v>
      </c>
      <c r="K14" s="26"/>
      <c r="L14" s="27"/>
      <c r="M14" s="26"/>
      <c r="N14" s="26" t="s">
        <v>56</v>
      </c>
      <c r="O14" s="26"/>
      <c r="P14" s="26"/>
      <c r="Q14" s="26"/>
      <c r="R14" s="26"/>
      <c r="S14" s="27"/>
    </row>
    <row r="15" spans="1:19">
      <c r="A15" s="15"/>
      <c r="B15" s="25">
        <v>39965</v>
      </c>
      <c r="C15" s="33">
        <v>39934</v>
      </c>
      <c r="D15" s="26"/>
      <c r="E15" s="27">
        <v>801</v>
      </c>
      <c r="F15" s="26"/>
      <c r="G15" s="26"/>
      <c r="H15" s="27"/>
      <c r="I15" s="25">
        <v>40105</v>
      </c>
      <c r="J15" s="27">
        <v>136</v>
      </c>
      <c r="K15" s="26"/>
      <c r="L15" s="27"/>
      <c r="M15" s="26"/>
      <c r="N15" s="26"/>
      <c r="O15" s="26"/>
      <c r="P15" s="26"/>
      <c r="Q15" s="26"/>
      <c r="R15" s="26"/>
      <c r="S15" s="27"/>
    </row>
    <row r="16" spans="1:19">
      <c r="A16" s="15"/>
      <c r="B16" s="25">
        <v>39995</v>
      </c>
      <c r="C16" s="33">
        <v>39965</v>
      </c>
      <c r="D16" s="26"/>
      <c r="E16" s="27">
        <v>1043</v>
      </c>
      <c r="F16" s="26"/>
      <c r="G16" s="26"/>
      <c r="H16" s="27"/>
      <c r="I16" s="25">
        <v>40197</v>
      </c>
      <c r="J16" s="27">
        <v>139</v>
      </c>
      <c r="K16" s="26"/>
      <c r="L16" s="27"/>
      <c r="M16" s="26"/>
      <c r="N16" s="26"/>
      <c r="O16" s="26"/>
      <c r="P16" s="26"/>
      <c r="Q16" s="26"/>
      <c r="R16" s="26"/>
      <c r="S16" s="27"/>
    </row>
    <row r="17" spans="1:21">
      <c r="A17" s="15"/>
      <c r="B17" s="25">
        <v>40026</v>
      </c>
      <c r="C17" s="33">
        <v>39995</v>
      </c>
      <c r="D17" s="26"/>
      <c r="E17" s="27">
        <v>1257</v>
      </c>
      <c r="F17" s="26"/>
      <c r="G17" s="26"/>
      <c r="H17" s="27"/>
      <c r="I17" s="28"/>
      <c r="J17" s="30"/>
      <c r="K17" s="29"/>
      <c r="L17" s="30"/>
      <c r="M17" s="29"/>
      <c r="N17" s="29"/>
      <c r="O17" s="29"/>
      <c r="P17" s="29"/>
      <c r="Q17" s="29"/>
      <c r="R17" s="29"/>
      <c r="S17" s="30"/>
    </row>
    <row r="18" spans="1:21">
      <c r="A18" s="15"/>
      <c r="B18" s="25">
        <v>40057</v>
      </c>
      <c r="C18" s="33">
        <v>40026</v>
      </c>
      <c r="D18" s="26"/>
      <c r="E18" s="27">
        <v>838</v>
      </c>
      <c r="F18" s="26"/>
      <c r="G18" s="26"/>
      <c r="H18" s="27"/>
    </row>
    <row r="19" spans="1:21">
      <c r="A19" s="15"/>
      <c r="B19" s="25">
        <v>40087</v>
      </c>
      <c r="C19" s="33">
        <v>40057</v>
      </c>
      <c r="D19" s="26"/>
      <c r="E19" s="27">
        <v>1015</v>
      </c>
      <c r="F19" s="26"/>
      <c r="G19" s="26"/>
      <c r="H19" s="27"/>
    </row>
    <row r="20" spans="1:21">
      <c r="A20" s="15"/>
      <c r="B20" s="25">
        <v>40118</v>
      </c>
      <c r="C20" s="33">
        <v>40087</v>
      </c>
      <c r="D20" s="26"/>
      <c r="E20" s="27">
        <v>941</v>
      </c>
      <c r="F20" s="26"/>
      <c r="G20" s="26"/>
      <c r="H20" s="27"/>
    </row>
    <row r="21" spans="1:21">
      <c r="A21" s="15"/>
      <c r="B21" s="25">
        <v>40148</v>
      </c>
      <c r="C21" s="33">
        <v>40118</v>
      </c>
      <c r="D21" s="26"/>
      <c r="E21" s="27">
        <v>1167</v>
      </c>
      <c r="F21" s="26">
        <f>SUM(E10:E21)</f>
        <v>12557</v>
      </c>
      <c r="G21" s="26" t="s">
        <v>54</v>
      </c>
      <c r="H21" s="27"/>
    </row>
    <row r="22" spans="1:21">
      <c r="A22" s="15"/>
      <c r="B22" s="25">
        <v>40179</v>
      </c>
      <c r="C22" s="33">
        <v>40148</v>
      </c>
      <c r="D22" s="26"/>
      <c r="E22" s="27">
        <v>1131</v>
      </c>
      <c r="F22" s="26"/>
      <c r="G22" s="26"/>
      <c r="H22" s="27"/>
    </row>
    <row r="23" spans="1:21">
      <c r="A23" s="15"/>
      <c r="B23" s="25">
        <v>40210</v>
      </c>
      <c r="C23" s="33">
        <v>40179</v>
      </c>
      <c r="D23" s="26"/>
      <c r="E23" s="27">
        <v>1258</v>
      </c>
      <c r="F23" s="26"/>
      <c r="G23" s="26"/>
      <c r="H23" s="27"/>
    </row>
    <row r="24" spans="1:21">
      <c r="A24" s="15"/>
      <c r="B24" s="28">
        <v>40238</v>
      </c>
      <c r="C24" s="35">
        <v>40210</v>
      </c>
      <c r="D24" s="29"/>
      <c r="E24" s="36">
        <v>1171</v>
      </c>
      <c r="F24" s="29"/>
      <c r="G24" s="29"/>
      <c r="H24" s="30"/>
    </row>
    <row r="25" spans="1:21">
      <c r="A25" s="15"/>
      <c r="B25" s="26"/>
      <c r="C25" s="33"/>
      <c r="D25" s="26"/>
      <c r="E25" s="26"/>
      <c r="F25" s="15"/>
      <c r="G25" s="15"/>
      <c r="H25" s="15"/>
      <c r="M25" s="1"/>
    </row>
    <row r="26" spans="1:21">
      <c r="M26" s="1"/>
    </row>
    <row r="27" spans="1:21">
      <c r="B27" s="22"/>
      <c r="C27" s="23"/>
      <c r="D27" s="23"/>
      <c r="E27" s="23"/>
      <c r="F27" s="23"/>
      <c r="G27" s="34"/>
      <c r="H27" s="23"/>
      <c r="I27" s="23"/>
      <c r="J27" s="23" t="s">
        <v>71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>
      <c r="B28" s="32"/>
      <c r="C28" s="26"/>
      <c r="D28" s="26" t="s">
        <v>24</v>
      </c>
      <c r="E28" s="26"/>
      <c r="F28" s="44">
        <f>1/F30</f>
        <v>292.99736302373282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>
      <c r="B29" s="32"/>
      <c r="C29" s="26"/>
      <c r="D29" s="26" t="s">
        <v>21</v>
      </c>
      <c r="E29" s="26"/>
      <c r="F29" s="50">
        <f>100000/1000000</f>
        <v>0.1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>
      <c r="B30" s="32"/>
      <c r="C30" s="26"/>
      <c r="D30" s="26" t="s">
        <v>20</v>
      </c>
      <c r="E30" s="26"/>
      <c r="F30" s="26">
        <f>3413/1000000</f>
        <v>3.4129999999999998E-3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>
      <c r="B31" s="32"/>
      <c r="C31" s="26"/>
      <c r="D31" s="26" t="s">
        <v>72</v>
      </c>
      <c r="E31" s="26"/>
      <c r="F31" s="26">
        <f>138.6905/1000</f>
        <v>0.13869049999999999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>
      <c r="B32" s="32"/>
      <c r="C32" s="26" t="s">
        <v>73</v>
      </c>
      <c r="D32" s="26"/>
      <c r="E32" s="26"/>
      <c r="F32" s="26">
        <f>7.75*40/1000</f>
        <v>0.31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2:21">
      <c r="B33" s="32"/>
      <c r="C33" s="26" t="s">
        <v>23</v>
      </c>
      <c r="D33" s="26"/>
      <c r="E33" s="26"/>
      <c r="F33" s="26">
        <v>3.34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2:21">
      <c r="B34" s="32"/>
      <c r="C34" s="26" t="s">
        <v>22</v>
      </c>
      <c r="D34" s="26"/>
      <c r="E34" s="26"/>
      <c r="F34" s="26">
        <v>1.0469999999999999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2:21">
      <c r="B35" s="32"/>
      <c r="C35" s="26" t="s">
        <v>74</v>
      </c>
      <c r="D35" s="26"/>
      <c r="E35" s="26"/>
      <c r="F35" s="26">
        <v>1.01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2:21">
      <c r="B36" s="32"/>
      <c r="C36" s="26" t="s">
        <v>75</v>
      </c>
      <c r="D36" s="26"/>
      <c r="E36" s="26"/>
      <c r="F36" s="26">
        <v>1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2:21">
      <c r="B37" s="32"/>
      <c r="C37" s="26"/>
      <c r="D37" s="26"/>
      <c r="E37" s="26"/>
      <c r="F37" s="26"/>
      <c r="G37" s="26"/>
      <c r="H37" s="26"/>
      <c r="I37" s="26"/>
      <c r="J37" s="26"/>
      <c r="K37" s="81" t="s">
        <v>1</v>
      </c>
      <c r="L37" s="81"/>
      <c r="M37" s="26"/>
      <c r="N37" s="26"/>
      <c r="O37" s="15"/>
      <c r="P37" s="15"/>
      <c r="Q37" s="26"/>
      <c r="R37" s="26"/>
      <c r="S37" s="26"/>
      <c r="T37" s="26"/>
      <c r="U37" s="26"/>
    </row>
    <row r="38" spans="2:21">
      <c r="B38" s="32"/>
      <c r="C38" s="26"/>
      <c r="D38" s="26"/>
      <c r="E38" s="26"/>
      <c r="F38" s="26"/>
      <c r="G38" s="26"/>
      <c r="H38" s="26"/>
      <c r="I38" s="26"/>
      <c r="J38" s="26"/>
      <c r="K38" s="26" t="s">
        <v>28</v>
      </c>
      <c r="L38" s="26" t="s">
        <v>29</v>
      </c>
      <c r="M38" s="26"/>
      <c r="N38" s="26" t="s">
        <v>28</v>
      </c>
      <c r="O38" s="26" t="s">
        <v>76</v>
      </c>
      <c r="P38" s="26"/>
      <c r="Q38" s="26" t="s">
        <v>30</v>
      </c>
      <c r="R38" s="26"/>
      <c r="S38" s="26"/>
      <c r="T38" s="26" t="s">
        <v>27</v>
      </c>
      <c r="U38" s="27"/>
    </row>
    <row r="39" spans="2:21">
      <c r="B39" s="32" t="s">
        <v>77</v>
      </c>
      <c r="C39" s="26"/>
      <c r="D39" s="26" t="s">
        <v>78</v>
      </c>
      <c r="E39" s="26" t="s">
        <v>17</v>
      </c>
      <c r="F39" s="26" t="s">
        <v>18</v>
      </c>
      <c r="G39" s="26"/>
      <c r="H39" s="26" t="s">
        <v>16</v>
      </c>
      <c r="I39" s="26" t="s">
        <v>19</v>
      </c>
      <c r="J39" s="26"/>
      <c r="K39" s="39" t="s">
        <v>42</v>
      </c>
      <c r="L39" s="26" t="s">
        <v>42</v>
      </c>
      <c r="M39" s="26"/>
      <c r="N39" s="26" t="s">
        <v>79</v>
      </c>
      <c r="O39" s="26" t="s">
        <v>79</v>
      </c>
      <c r="P39" s="26"/>
      <c r="Q39" s="26" t="s">
        <v>28</v>
      </c>
      <c r="R39" s="26" t="s">
        <v>29</v>
      </c>
      <c r="S39" s="26"/>
      <c r="T39" s="26" t="s">
        <v>28</v>
      </c>
      <c r="U39" s="27" t="s">
        <v>29</v>
      </c>
    </row>
    <row r="40" spans="2:21">
      <c r="B40" s="32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7"/>
    </row>
    <row r="41" spans="2:21">
      <c r="B41" s="32" t="s">
        <v>80</v>
      </c>
      <c r="C41" s="33"/>
      <c r="D41" s="51">
        <f>S12</f>
        <v>1301</v>
      </c>
      <c r="E41" s="18">
        <f>D41*F$31</f>
        <v>180.4363405</v>
      </c>
      <c r="F41" s="44">
        <f>E41*F$35</f>
        <v>182.240703905</v>
      </c>
      <c r="G41" s="26"/>
      <c r="H41" s="44">
        <f>E41*F$28</f>
        <v>52867.371960152363</v>
      </c>
      <c r="I41" s="44">
        <f>F41*F$28</f>
        <v>53396.045679753886</v>
      </c>
      <c r="J41" s="44"/>
      <c r="K41" s="44">
        <f>F21</f>
        <v>12557</v>
      </c>
      <c r="L41" s="44">
        <f>K41*F$33</f>
        <v>41940.379999999997</v>
      </c>
      <c r="M41" s="26"/>
      <c r="N41" s="44">
        <f>K41*F$30</f>
        <v>42.857040999999995</v>
      </c>
      <c r="O41" s="44">
        <f>L41*F$30</f>
        <v>143.14251693999998</v>
      </c>
      <c r="P41" s="26"/>
      <c r="Q41" s="44">
        <f>E41+N41</f>
        <v>223.29338150000001</v>
      </c>
      <c r="R41" s="44">
        <f>F41+O41</f>
        <v>325.38322084499998</v>
      </c>
      <c r="S41" s="44"/>
      <c r="T41" s="44">
        <f>H41+K41</f>
        <v>65424.371960152363</v>
      </c>
      <c r="U41" s="45">
        <f>I41+L41</f>
        <v>95336.425679753884</v>
      </c>
    </row>
    <row r="42" spans="2:21">
      <c r="B42" s="4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</sheetData>
  <mergeCells count="1">
    <mergeCell ref="K37:L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T55"/>
  <sheetViews>
    <sheetView workbookViewId="0">
      <selection activeCell="T8" sqref="T8"/>
    </sheetView>
  </sheetViews>
  <sheetFormatPr defaultRowHeight="15"/>
  <cols>
    <col min="1" max="1" width="10.42578125" style="15" bestFit="1" customWidth="1"/>
    <col min="2" max="2" width="15.28515625" style="15" customWidth="1"/>
    <col min="3" max="13" width="9.140625" style="15"/>
    <col min="14" max="14" width="12.42578125" style="15" customWidth="1"/>
    <col min="15" max="15" width="11.7109375" style="15" customWidth="1"/>
    <col min="16" max="16" width="9.140625" style="15"/>
    <col min="17" max="18" width="10.28515625" style="15" customWidth="1"/>
    <col min="19" max="16384" width="9.140625" style="15"/>
  </cols>
  <sheetData>
    <row r="3" spans="1:20">
      <c r="B3" s="15" t="s">
        <v>58</v>
      </c>
    </row>
    <row r="4" spans="1:20">
      <c r="B4" s="15" t="s">
        <v>37</v>
      </c>
      <c r="C4" s="15" t="s">
        <v>63</v>
      </c>
      <c r="Q4" s="52">
        <v>40519</v>
      </c>
      <c r="R4" s="52">
        <v>40560</v>
      </c>
      <c r="S4" s="53">
        <v>41</v>
      </c>
      <c r="T4" s="53">
        <v>182</v>
      </c>
    </row>
    <row r="5" spans="1:20">
      <c r="B5" s="15" t="s">
        <v>57</v>
      </c>
      <c r="C5" s="15" t="s">
        <v>0</v>
      </c>
      <c r="D5" s="15" t="s">
        <v>4</v>
      </c>
      <c r="Q5" s="52">
        <v>40560</v>
      </c>
      <c r="R5" s="52">
        <v>40589</v>
      </c>
      <c r="S5" s="53">
        <v>29</v>
      </c>
      <c r="T5" s="53">
        <v>102</v>
      </c>
    </row>
    <row r="6" spans="1:20">
      <c r="A6" s="15" t="s">
        <v>13</v>
      </c>
      <c r="Q6" s="52">
        <v>40589</v>
      </c>
      <c r="R6" s="52">
        <v>40618</v>
      </c>
      <c r="S6" s="53">
        <v>29</v>
      </c>
      <c r="T6" s="53">
        <v>67</v>
      </c>
    </row>
    <row r="7" spans="1:20">
      <c r="A7" s="1">
        <v>40452</v>
      </c>
      <c r="B7" s="15">
        <v>0</v>
      </c>
      <c r="C7" s="15">
        <f>HDD!B11</f>
        <v>320</v>
      </c>
      <c r="D7" s="15">
        <f>CDD!B11</f>
        <v>18</v>
      </c>
      <c r="Q7" s="52">
        <v>40618</v>
      </c>
      <c r="R7" s="52">
        <v>40630</v>
      </c>
      <c r="S7" s="53">
        <v>12</v>
      </c>
      <c r="T7" s="53">
        <v>24</v>
      </c>
    </row>
    <row r="8" spans="1:20">
      <c r="A8" s="1">
        <v>40483</v>
      </c>
      <c r="B8" s="15">
        <v>0</v>
      </c>
      <c r="C8" s="15">
        <f>HDD!B12</f>
        <v>608</v>
      </c>
      <c r="D8" s="15">
        <f>CDD!B12</f>
        <v>0</v>
      </c>
      <c r="Q8" s="52">
        <v>40630</v>
      </c>
      <c r="R8" s="52">
        <v>40662</v>
      </c>
      <c r="S8" s="53">
        <v>32</v>
      </c>
      <c r="T8" s="53">
        <v>37</v>
      </c>
    </row>
    <row r="9" spans="1:20">
      <c r="A9" s="1">
        <v>40513</v>
      </c>
      <c r="B9" s="15">
        <v>0</v>
      </c>
      <c r="C9" s="15">
        <f>HDD!B13</f>
        <v>1010</v>
      </c>
      <c r="D9" s="15">
        <f>CDD!B13</f>
        <v>0</v>
      </c>
      <c r="E9" s="15" t="s">
        <v>32</v>
      </c>
      <c r="Q9" s="52">
        <v>40662</v>
      </c>
      <c r="R9" s="52">
        <v>40690</v>
      </c>
      <c r="S9" s="53">
        <v>28</v>
      </c>
      <c r="T9" s="53">
        <v>17</v>
      </c>
    </row>
    <row r="10" spans="1:20">
      <c r="A10" s="1">
        <v>40544</v>
      </c>
      <c r="B10" s="19">
        <f>F34</f>
        <v>124.70479394449117</v>
      </c>
      <c r="C10" s="15">
        <f>HDD!B14</f>
        <v>1154</v>
      </c>
      <c r="D10" s="15">
        <f>CDD!B14</f>
        <v>0</v>
      </c>
      <c r="Q10" s="52">
        <v>40690</v>
      </c>
      <c r="R10" s="52">
        <v>40721</v>
      </c>
      <c r="S10" s="53">
        <v>31</v>
      </c>
      <c r="T10" s="53">
        <v>12</v>
      </c>
    </row>
    <row r="11" spans="1:20">
      <c r="A11" s="1">
        <v>40575</v>
      </c>
      <c r="B11" s="19">
        <f t="shared" ref="B11:B12" si="0">F35</f>
        <v>82.793103448275872</v>
      </c>
      <c r="C11" s="15">
        <f>HDD!B15</f>
        <v>964</v>
      </c>
      <c r="D11" s="15">
        <f>CDD!B15</f>
        <v>0</v>
      </c>
      <c r="Q11" s="52">
        <v>40721</v>
      </c>
      <c r="R11" s="52">
        <v>40751</v>
      </c>
      <c r="S11" s="53">
        <v>30</v>
      </c>
      <c r="T11" s="53">
        <v>9</v>
      </c>
    </row>
    <row r="12" spans="1:20">
      <c r="A12" s="1">
        <v>40603</v>
      </c>
      <c r="B12" s="19">
        <f t="shared" si="0"/>
        <v>60.96551724137931</v>
      </c>
      <c r="C12" s="15">
        <f>HDD!B16</f>
        <v>813</v>
      </c>
      <c r="D12" s="15">
        <f>CDD!B16</f>
        <v>1</v>
      </c>
      <c r="Q12" s="52">
        <v>40751</v>
      </c>
      <c r="R12" s="52">
        <v>40781</v>
      </c>
      <c r="S12" s="53">
        <v>30</v>
      </c>
      <c r="T12" s="53">
        <v>8</v>
      </c>
    </row>
    <row r="13" spans="1:20">
      <c r="A13" s="1">
        <v>40634</v>
      </c>
      <c r="B13" s="15">
        <v>37</v>
      </c>
      <c r="C13" s="15">
        <f>HDD!B17</f>
        <v>468</v>
      </c>
      <c r="D13" s="15">
        <f>CDD!B17</f>
        <v>8</v>
      </c>
      <c r="Q13" s="52">
        <v>40781</v>
      </c>
      <c r="R13" s="52">
        <v>40812</v>
      </c>
      <c r="S13" s="53">
        <v>31</v>
      </c>
      <c r="T13" s="53">
        <v>9</v>
      </c>
    </row>
    <row r="14" spans="1:20">
      <c r="A14" s="1">
        <v>40664</v>
      </c>
      <c r="B14" s="15">
        <v>17</v>
      </c>
      <c r="C14" s="15">
        <f>HDD!B18</f>
        <v>255</v>
      </c>
      <c r="D14" s="15">
        <f>CDD!B18</f>
        <v>50</v>
      </c>
      <c r="Q14" s="52">
        <v>40812</v>
      </c>
      <c r="R14" s="52">
        <v>40844</v>
      </c>
      <c r="S14" s="53">
        <v>32</v>
      </c>
      <c r="T14" s="53">
        <v>12</v>
      </c>
    </row>
    <row r="15" spans="1:20">
      <c r="A15" s="1">
        <v>40695</v>
      </c>
      <c r="B15" s="15">
        <v>12</v>
      </c>
      <c r="C15" s="15">
        <f>HDD!B19</f>
        <v>75</v>
      </c>
      <c r="D15" s="15">
        <f>CDD!B19</f>
        <v>130</v>
      </c>
      <c r="Q15" s="52">
        <v>40844</v>
      </c>
      <c r="R15" s="52">
        <v>40876</v>
      </c>
      <c r="S15" s="53">
        <v>32</v>
      </c>
      <c r="T15" s="53">
        <v>24</v>
      </c>
    </row>
    <row r="16" spans="1:20">
      <c r="A16" s="1">
        <v>40725</v>
      </c>
      <c r="B16" s="15">
        <v>9</v>
      </c>
      <c r="C16" s="15">
        <f>HDD!B20</f>
        <v>0</v>
      </c>
      <c r="D16" s="15">
        <f>CDD!B20</f>
        <v>374</v>
      </c>
      <c r="Q16" s="52">
        <v>40876</v>
      </c>
      <c r="R16" s="52">
        <v>40906</v>
      </c>
      <c r="S16" s="53">
        <v>30</v>
      </c>
      <c r="T16" s="53">
        <v>34</v>
      </c>
    </row>
    <row r="17" spans="1:20">
      <c r="A17" s="1">
        <v>40756</v>
      </c>
      <c r="B17" s="15">
        <v>8</v>
      </c>
      <c r="C17" s="15">
        <f>HDD!B21</f>
        <v>2</v>
      </c>
      <c r="D17" s="15">
        <f>CDD!B21</f>
        <v>260</v>
      </c>
      <c r="Q17" s="52">
        <v>40906</v>
      </c>
      <c r="R17" s="52">
        <v>40935</v>
      </c>
      <c r="S17" s="53">
        <v>29</v>
      </c>
      <c r="T17" s="53">
        <v>47</v>
      </c>
    </row>
    <row r="18" spans="1:20">
      <c r="A18" s="1">
        <v>40787</v>
      </c>
      <c r="B18" s="15">
        <v>9</v>
      </c>
      <c r="C18" s="15">
        <f>HDD!B22</f>
        <v>57</v>
      </c>
      <c r="D18" s="15">
        <f>CDD!B22</f>
        <v>115</v>
      </c>
      <c r="Q18" s="52">
        <v>40935</v>
      </c>
      <c r="R18" s="52">
        <v>40963</v>
      </c>
      <c r="S18" s="53">
        <v>28</v>
      </c>
      <c r="T18" s="53">
        <v>41</v>
      </c>
    </row>
    <row r="19" spans="1:20">
      <c r="A19" s="1">
        <v>40817</v>
      </c>
      <c r="B19" s="15">
        <v>12</v>
      </c>
      <c r="C19" s="15">
        <f>HDD!B23</f>
        <v>267</v>
      </c>
      <c r="D19" s="15">
        <f>CDD!B23</f>
        <v>29</v>
      </c>
      <c r="Q19" s="52">
        <v>40963</v>
      </c>
      <c r="R19" s="52">
        <v>40996</v>
      </c>
      <c r="S19" s="53">
        <v>33</v>
      </c>
      <c r="T19" s="53">
        <v>39</v>
      </c>
    </row>
    <row r="20" spans="1:20">
      <c r="A20" s="1">
        <v>40848</v>
      </c>
      <c r="B20" s="15">
        <v>24</v>
      </c>
      <c r="C20" s="15">
        <f>HDD!B24</f>
        <v>449</v>
      </c>
      <c r="D20" s="15">
        <f>CDD!B24</f>
        <v>1</v>
      </c>
      <c r="Q20" s="52">
        <v>40996</v>
      </c>
      <c r="R20" s="52">
        <v>41025</v>
      </c>
      <c r="S20" s="53">
        <v>29</v>
      </c>
      <c r="T20" s="53">
        <v>19</v>
      </c>
    </row>
    <row r="21" spans="1:20">
      <c r="A21" s="1">
        <v>40878</v>
      </c>
      <c r="B21" s="15">
        <v>34</v>
      </c>
      <c r="C21" s="15">
        <f>HDD!B25</f>
        <v>764</v>
      </c>
      <c r="D21" s="15">
        <f>CDD!B25</f>
        <v>0</v>
      </c>
      <c r="Q21" s="52">
        <v>41025</v>
      </c>
      <c r="R21" s="52">
        <v>41060</v>
      </c>
      <c r="S21" s="53">
        <v>35</v>
      </c>
      <c r="T21" s="53">
        <v>15</v>
      </c>
    </row>
    <row r="22" spans="1:20">
      <c r="A22" s="1">
        <v>40909</v>
      </c>
      <c r="B22" s="15">
        <v>47</v>
      </c>
      <c r="C22" s="15">
        <f>HDD!B26</f>
        <v>959</v>
      </c>
      <c r="D22" s="15">
        <f>CDD!B26</f>
        <v>0</v>
      </c>
      <c r="Q22" s="52">
        <v>41060</v>
      </c>
      <c r="R22" s="52">
        <v>41088</v>
      </c>
      <c r="S22" s="53">
        <v>28</v>
      </c>
      <c r="T22" s="53">
        <v>8</v>
      </c>
    </row>
    <row r="23" spans="1:20">
      <c r="A23" s="1">
        <v>40940</v>
      </c>
      <c r="B23" s="15">
        <v>41</v>
      </c>
      <c r="C23" s="15">
        <f>HDD!B27</f>
        <v>801</v>
      </c>
      <c r="D23" s="15">
        <f>CDD!B27</f>
        <v>0</v>
      </c>
      <c r="Q23" s="52">
        <v>41088</v>
      </c>
      <c r="R23" s="52">
        <v>41121</v>
      </c>
      <c r="S23" s="53">
        <v>33</v>
      </c>
      <c r="T23" s="53">
        <v>6</v>
      </c>
    </row>
    <row r="24" spans="1:20">
      <c r="A24" s="1">
        <v>40969</v>
      </c>
      <c r="B24" s="15">
        <v>39</v>
      </c>
      <c r="C24" s="15">
        <f>HDD!B28</f>
        <v>608</v>
      </c>
      <c r="D24" s="15">
        <f>CDD!B28</f>
        <v>18</v>
      </c>
      <c r="Q24" s="52">
        <v>41121</v>
      </c>
      <c r="R24" s="52">
        <v>41149</v>
      </c>
      <c r="S24" s="53">
        <v>28</v>
      </c>
      <c r="T24" s="53">
        <v>6</v>
      </c>
    </row>
    <row r="25" spans="1:20">
      <c r="A25" s="1">
        <v>41000</v>
      </c>
      <c r="B25" s="15">
        <v>19</v>
      </c>
      <c r="C25" s="15">
        <f>HDD!B29</f>
        <v>398</v>
      </c>
      <c r="D25" s="15">
        <f>CDD!B29</f>
        <v>25</v>
      </c>
    </row>
    <row r="26" spans="1:20">
      <c r="A26" s="1">
        <v>41030</v>
      </c>
      <c r="B26" s="15">
        <v>15</v>
      </c>
      <c r="C26" s="15">
        <f>HDD!B30</f>
        <v>204</v>
      </c>
      <c r="D26" s="15">
        <f>CDD!B30</f>
        <v>42</v>
      </c>
    </row>
    <row r="27" spans="1:20">
      <c r="A27" s="1">
        <v>41061</v>
      </c>
      <c r="B27" s="15">
        <v>8</v>
      </c>
      <c r="C27" s="15">
        <f>HDD!B31</f>
        <v>94</v>
      </c>
      <c r="D27" s="15">
        <f>CDD!B31</f>
        <v>142</v>
      </c>
    </row>
    <row r="28" spans="1:20">
      <c r="A28" s="1">
        <v>41091</v>
      </c>
      <c r="B28" s="15">
        <v>6</v>
      </c>
      <c r="C28" s="15">
        <f>HDD!B32</f>
        <v>2</v>
      </c>
      <c r="D28" s="15">
        <f>CDD!B32</f>
        <v>304</v>
      </c>
    </row>
    <row r="29" spans="1:20">
      <c r="A29" s="1">
        <v>41122</v>
      </c>
      <c r="B29" s="15">
        <v>6</v>
      </c>
    </row>
    <row r="31" spans="1:20">
      <c r="E31" s="15" t="s">
        <v>62</v>
      </c>
      <c r="F31" s="15" t="s">
        <v>60</v>
      </c>
    </row>
    <row r="32" spans="1:20">
      <c r="A32" s="15" t="s">
        <v>59</v>
      </c>
      <c r="B32" s="15" t="s">
        <v>60</v>
      </c>
      <c r="C32" s="15" t="s">
        <v>61</v>
      </c>
    </row>
    <row r="33" spans="1:6">
      <c r="A33" s="1">
        <v>40519</v>
      </c>
      <c r="E33" s="1">
        <v>40543</v>
      </c>
    </row>
    <row r="34" spans="1:6">
      <c r="A34" s="1">
        <v>40560</v>
      </c>
      <c r="B34" s="15">
        <v>182</v>
      </c>
      <c r="C34" s="19">
        <f>B34/(A34-A33)</f>
        <v>4.4390243902439028</v>
      </c>
      <c r="E34" s="1">
        <v>40574</v>
      </c>
      <c r="F34" s="19">
        <f>C34*(A34-E33)+C35*(E34-A34)</f>
        <v>124.70479394449117</v>
      </c>
    </row>
    <row r="35" spans="1:6">
      <c r="A35" s="1">
        <v>40589</v>
      </c>
      <c r="B35" s="15">
        <v>102</v>
      </c>
      <c r="C35" s="19">
        <f>B35/(A35-A34)</f>
        <v>3.5172413793103448</v>
      </c>
      <c r="E35" s="1">
        <v>40602</v>
      </c>
      <c r="F35" s="19">
        <f>C35*(A35-E34)+C36*(E35-A35)</f>
        <v>82.793103448275872</v>
      </c>
    </row>
    <row r="36" spans="1:6">
      <c r="A36" s="1">
        <v>40618</v>
      </c>
      <c r="B36" s="15">
        <v>67</v>
      </c>
      <c r="C36" s="19">
        <f t="shared" ref="C36:C37" si="1">B36/(A36-A35)</f>
        <v>2.3103448275862069</v>
      </c>
      <c r="E36" s="1">
        <v>40633</v>
      </c>
      <c r="F36" s="19">
        <f>C36*(A36-E35)+C37*(A37-A36)</f>
        <v>60.96551724137931</v>
      </c>
    </row>
    <row r="37" spans="1:6">
      <c r="A37" s="1">
        <v>40630</v>
      </c>
      <c r="B37" s="15">
        <v>24</v>
      </c>
      <c r="C37" s="19">
        <f t="shared" si="1"/>
        <v>2</v>
      </c>
      <c r="E37" s="1">
        <v>40663</v>
      </c>
      <c r="F37" s="19"/>
    </row>
    <row r="38" spans="1:6">
      <c r="A38" s="1"/>
      <c r="C38" s="19"/>
      <c r="E38" s="1"/>
    </row>
    <row r="39" spans="1:6">
      <c r="A39" s="1"/>
      <c r="C39" s="19"/>
      <c r="E39" s="1"/>
    </row>
    <row r="40" spans="1:6">
      <c r="A40" s="1"/>
      <c r="C40" s="19"/>
      <c r="E40" s="1"/>
    </row>
    <row r="41" spans="1:6">
      <c r="A41" s="1"/>
      <c r="C41" s="19"/>
      <c r="E41" s="1"/>
    </row>
    <row r="42" spans="1:6">
      <c r="A42" s="1"/>
      <c r="C42" s="19"/>
      <c r="E42" s="1"/>
    </row>
    <row r="43" spans="1:6">
      <c r="A43" s="1"/>
      <c r="C43" s="19"/>
      <c r="E43" s="1"/>
    </row>
    <row r="44" spans="1:6">
      <c r="A44" s="1"/>
      <c r="C44" s="19"/>
      <c r="E44" s="1"/>
    </row>
    <row r="45" spans="1:6">
      <c r="A45" s="1"/>
      <c r="C45" s="19"/>
      <c r="E45" s="1"/>
    </row>
    <row r="46" spans="1:6">
      <c r="A46" s="1"/>
      <c r="C46" s="19"/>
      <c r="E46" s="1"/>
    </row>
    <row r="47" spans="1:6">
      <c r="A47" s="1"/>
      <c r="C47" s="19"/>
      <c r="E47" s="1"/>
    </row>
    <row r="48" spans="1:6">
      <c r="A48" s="1"/>
      <c r="C48" s="19"/>
      <c r="E48" s="1"/>
    </row>
    <row r="49" spans="1:5">
      <c r="A49" s="1"/>
      <c r="C49" s="19"/>
      <c r="E49" s="1"/>
    </row>
    <row r="50" spans="1:5">
      <c r="A50" s="1"/>
      <c r="C50" s="19"/>
      <c r="E50" s="1"/>
    </row>
    <row r="51" spans="1:5">
      <c r="A51" s="1"/>
      <c r="C51" s="19"/>
      <c r="E51" s="1"/>
    </row>
    <row r="52" spans="1:5">
      <c r="A52" s="1"/>
      <c r="C52" s="19"/>
      <c r="E52" s="1"/>
    </row>
    <row r="53" spans="1:5">
      <c r="A53" s="1"/>
      <c r="C53" s="19"/>
      <c r="E53" s="1"/>
    </row>
    <row r="54" spans="1:5">
      <c r="A54" s="1"/>
      <c r="C54" s="19"/>
    </row>
    <row r="55" spans="1:5">
      <c r="A55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1"/>
  <sheetViews>
    <sheetView workbookViewId="0">
      <selection activeCell="D29" sqref="D29"/>
    </sheetView>
  </sheetViews>
  <sheetFormatPr defaultRowHeight="15"/>
  <cols>
    <col min="1" max="1" width="10.42578125" bestFit="1" customWidth="1"/>
    <col min="2" max="2" width="9.85546875" customWidth="1"/>
    <col min="4" max="4" width="15.28515625" customWidth="1"/>
    <col min="5" max="5" width="11.42578125" customWidth="1"/>
    <col min="19" max="19" width="8.28515625" customWidth="1"/>
    <col min="20" max="20" width="10.42578125" customWidth="1"/>
    <col min="21" max="21" width="10.5703125" customWidth="1"/>
    <col min="22" max="22" width="10.85546875" customWidth="1"/>
  </cols>
  <sheetData>
    <row r="1" spans="1:22">
      <c r="B1" s="15"/>
    </row>
    <row r="2" spans="1:22">
      <c r="T2" s="54">
        <v>39962</v>
      </c>
      <c r="U2" s="54">
        <v>39994</v>
      </c>
      <c r="V2" s="55">
        <v>1043</v>
      </c>
    </row>
    <row r="3" spans="1:22">
      <c r="E3" s="15" t="s">
        <v>39</v>
      </c>
      <c r="T3" s="54">
        <v>39994</v>
      </c>
      <c r="U3" s="54">
        <v>40024</v>
      </c>
      <c r="V3" s="55">
        <v>1257</v>
      </c>
    </row>
    <row r="4" spans="1:22">
      <c r="B4" s="82" t="s">
        <v>38</v>
      </c>
      <c r="C4" s="82"/>
      <c r="E4" s="15" t="s">
        <v>41</v>
      </c>
      <c r="I4" s="15" t="s">
        <v>86</v>
      </c>
      <c r="T4" s="54">
        <v>40024</v>
      </c>
      <c r="U4" s="54">
        <v>40053</v>
      </c>
      <c r="V4" s="56">
        <v>838</v>
      </c>
    </row>
    <row r="5" spans="1:22">
      <c r="B5" s="15" t="s">
        <v>33</v>
      </c>
      <c r="C5" s="15"/>
      <c r="D5" t="s">
        <v>2</v>
      </c>
      <c r="E5" t="s">
        <v>3</v>
      </c>
      <c r="F5" t="s">
        <v>0</v>
      </c>
      <c r="G5" t="s">
        <v>4</v>
      </c>
      <c r="I5" s="15" t="s">
        <v>85</v>
      </c>
      <c r="T5" s="54">
        <v>40053</v>
      </c>
      <c r="U5" s="54">
        <v>40084</v>
      </c>
      <c r="V5" s="55">
        <v>1015</v>
      </c>
    </row>
    <row r="6" spans="1:22" s="15" customFormat="1">
      <c r="A6" s="15" t="s">
        <v>13</v>
      </c>
      <c r="B6" s="15" t="s">
        <v>64</v>
      </c>
      <c r="C6" s="15" t="s">
        <v>81</v>
      </c>
      <c r="D6" s="15" t="s">
        <v>65</v>
      </c>
      <c r="I6" s="15" t="s">
        <v>87</v>
      </c>
      <c r="T6" s="54">
        <v>40084</v>
      </c>
      <c r="U6" s="54">
        <v>40114</v>
      </c>
      <c r="V6" s="56">
        <v>941</v>
      </c>
    </row>
    <row r="7" spans="1:22" s="15" customFormat="1">
      <c r="A7" s="1">
        <v>40452</v>
      </c>
      <c r="B7" s="2">
        <v>77</v>
      </c>
      <c r="C7" s="2"/>
      <c r="D7" s="15">
        <f>SUM(B7+C7-E7)</f>
        <v>77</v>
      </c>
      <c r="E7" s="2"/>
      <c r="F7" s="15">
        <f>HDD!B11</f>
        <v>320</v>
      </c>
      <c r="G7" s="15">
        <f>CDD!B11</f>
        <v>18</v>
      </c>
      <c r="T7" s="54">
        <v>40114</v>
      </c>
      <c r="U7" s="54">
        <v>40147</v>
      </c>
      <c r="V7" s="55">
        <v>1167</v>
      </c>
    </row>
    <row r="8" spans="1:22" s="15" customFormat="1">
      <c r="A8" s="1">
        <v>40483</v>
      </c>
      <c r="B8" s="2">
        <v>307</v>
      </c>
      <c r="C8" s="2"/>
      <c r="D8" s="15">
        <f t="shared" ref="D8:D29" si="0">SUM(B8+C8-E8)</f>
        <v>307</v>
      </c>
      <c r="E8" s="2"/>
      <c r="F8" s="15">
        <f>HDD!B12</f>
        <v>608</v>
      </c>
      <c r="G8" s="15">
        <f>CDD!B12</f>
        <v>0</v>
      </c>
      <c r="T8" s="54">
        <v>40147</v>
      </c>
      <c r="U8" s="54">
        <v>40175</v>
      </c>
      <c r="V8" s="55">
        <v>1131</v>
      </c>
    </row>
    <row r="9" spans="1:22">
      <c r="A9" s="1">
        <v>40513</v>
      </c>
      <c r="B9" s="2">
        <v>1137</v>
      </c>
      <c r="C9" s="2"/>
      <c r="D9" s="15">
        <f t="shared" si="0"/>
        <v>1137</v>
      </c>
      <c r="E9" s="2"/>
      <c r="F9" s="15">
        <f>HDD!B13</f>
        <v>1010</v>
      </c>
      <c r="G9" s="15">
        <f>CDD!B13</f>
        <v>0</v>
      </c>
      <c r="H9" s="15"/>
      <c r="T9" s="54">
        <v>40175</v>
      </c>
      <c r="U9" s="54">
        <v>40206</v>
      </c>
      <c r="V9" s="55">
        <v>1258</v>
      </c>
    </row>
    <row r="10" spans="1:22">
      <c r="A10" s="1">
        <v>40544</v>
      </c>
      <c r="B10" s="3">
        <v>875</v>
      </c>
      <c r="C10" s="3"/>
      <c r="D10" s="15">
        <f t="shared" si="0"/>
        <v>875</v>
      </c>
      <c r="E10" s="3"/>
      <c r="F10">
        <f>HDD!B14</f>
        <v>1154</v>
      </c>
      <c r="G10">
        <f>CDD!B14</f>
        <v>0</v>
      </c>
      <c r="T10" s="54">
        <v>40206</v>
      </c>
      <c r="U10" s="54">
        <v>40238</v>
      </c>
      <c r="V10" s="55">
        <v>1171</v>
      </c>
    </row>
    <row r="11" spans="1:22">
      <c r="A11" s="1">
        <v>40575</v>
      </c>
      <c r="B11" s="3">
        <v>374</v>
      </c>
      <c r="C11" s="3"/>
      <c r="D11" s="15">
        <f t="shared" si="0"/>
        <v>686</v>
      </c>
      <c r="E11" s="3">
        <v>-312</v>
      </c>
      <c r="F11" s="7">
        <f>HDD!B15</f>
        <v>964</v>
      </c>
      <c r="G11" s="7">
        <f>CDD!B15</f>
        <v>0</v>
      </c>
      <c r="T11" s="54">
        <v>40238</v>
      </c>
      <c r="U11" s="54">
        <v>40267</v>
      </c>
      <c r="V11" s="55">
        <v>1037</v>
      </c>
    </row>
    <row r="12" spans="1:22">
      <c r="A12" s="1">
        <v>40603</v>
      </c>
      <c r="B12" s="3">
        <v>36</v>
      </c>
      <c r="C12" s="3"/>
      <c r="D12" s="15">
        <f t="shared" si="0"/>
        <v>801</v>
      </c>
      <c r="E12" s="3">
        <v>-765</v>
      </c>
      <c r="F12" s="7">
        <f>HDD!B16</f>
        <v>813</v>
      </c>
      <c r="G12" s="7">
        <f>CDD!B16</f>
        <v>1</v>
      </c>
      <c r="H12" s="15"/>
      <c r="T12" s="54">
        <v>40267</v>
      </c>
      <c r="U12" s="54">
        <v>40297</v>
      </c>
      <c r="V12" s="56">
        <v>897</v>
      </c>
    </row>
    <row r="13" spans="1:22">
      <c r="A13" s="1">
        <v>40634</v>
      </c>
      <c r="B13" s="3">
        <v>45</v>
      </c>
      <c r="C13" s="3"/>
      <c r="D13" s="15">
        <f t="shared" si="0"/>
        <v>712</v>
      </c>
      <c r="E13" s="3">
        <v>-667</v>
      </c>
      <c r="F13" s="7">
        <f>HDD!B17</f>
        <v>468</v>
      </c>
      <c r="G13" s="7">
        <f>CDD!B17</f>
        <v>8</v>
      </c>
      <c r="T13" s="54">
        <v>40297</v>
      </c>
      <c r="U13" s="54">
        <v>40326</v>
      </c>
      <c r="V13" s="56">
        <v>896</v>
      </c>
    </row>
    <row r="14" spans="1:22">
      <c r="A14" s="1">
        <v>40664</v>
      </c>
      <c r="B14" s="3">
        <v>104</v>
      </c>
      <c r="C14" s="3"/>
      <c r="D14" s="15">
        <f t="shared" si="0"/>
        <v>825</v>
      </c>
      <c r="E14" s="3">
        <v>-721</v>
      </c>
      <c r="F14" s="7">
        <f>HDD!B18</f>
        <v>255</v>
      </c>
      <c r="G14" s="7">
        <f>CDD!B18</f>
        <v>50</v>
      </c>
      <c r="T14" s="54">
        <v>40326</v>
      </c>
      <c r="U14" s="54">
        <v>40359</v>
      </c>
      <c r="V14" s="56">
        <v>255</v>
      </c>
    </row>
    <row r="15" spans="1:22">
      <c r="A15" s="1">
        <v>40695</v>
      </c>
      <c r="B15" s="3">
        <v>90</v>
      </c>
      <c r="C15" s="3"/>
      <c r="D15" s="15">
        <f t="shared" si="0"/>
        <v>885</v>
      </c>
      <c r="E15" s="3">
        <v>-795</v>
      </c>
      <c r="F15" s="7">
        <f>HDD!B19</f>
        <v>75</v>
      </c>
      <c r="G15" s="7">
        <f>CDD!B19</f>
        <v>130</v>
      </c>
      <c r="T15" s="54">
        <v>40359</v>
      </c>
      <c r="U15" s="54">
        <v>40389</v>
      </c>
      <c r="V15" s="56">
        <v>75</v>
      </c>
    </row>
    <row r="16" spans="1:22">
      <c r="A16" s="1">
        <v>40725</v>
      </c>
      <c r="B16" s="3">
        <v>226</v>
      </c>
      <c r="C16" s="3"/>
      <c r="D16" s="15">
        <f t="shared" si="0"/>
        <v>1112</v>
      </c>
      <c r="E16" s="3">
        <v>-886</v>
      </c>
      <c r="F16" s="15">
        <f>HDD!B20</f>
        <v>0</v>
      </c>
      <c r="G16" s="15">
        <f>CDD!B20</f>
        <v>374</v>
      </c>
      <c r="I16">
        <v>393</v>
      </c>
      <c r="T16" s="54">
        <v>40389</v>
      </c>
      <c r="U16" s="54">
        <v>40417</v>
      </c>
      <c r="V16" s="56">
        <v>30</v>
      </c>
    </row>
    <row r="17" spans="1:22">
      <c r="A17" s="1">
        <v>40756</v>
      </c>
      <c r="B17" s="3">
        <v>153</v>
      </c>
      <c r="C17" s="3"/>
      <c r="D17" s="15">
        <f t="shared" si="0"/>
        <v>953</v>
      </c>
      <c r="E17" s="3">
        <v>-800</v>
      </c>
      <c r="F17" s="15">
        <f>HDD!B21</f>
        <v>2</v>
      </c>
      <c r="G17" s="15">
        <f>CDD!B21</f>
        <v>260</v>
      </c>
      <c r="I17">
        <v>347</v>
      </c>
      <c r="T17" s="54">
        <v>40417</v>
      </c>
      <c r="U17" s="54">
        <v>40450</v>
      </c>
      <c r="V17" s="56">
        <v>101</v>
      </c>
    </row>
    <row r="18" spans="1:22">
      <c r="A18" s="1">
        <v>40787</v>
      </c>
      <c r="B18" s="3">
        <v>93</v>
      </c>
      <c r="C18" s="3"/>
      <c r="D18" s="15">
        <f t="shared" si="0"/>
        <v>804</v>
      </c>
      <c r="E18" s="3">
        <v>-711</v>
      </c>
      <c r="F18" s="15">
        <f>HDD!B22</f>
        <v>57</v>
      </c>
      <c r="G18" s="15">
        <f>CDD!B22</f>
        <v>115</v>
      </c>
      <c r="I18">
        <v>287</v>
      </c>
      <c r="T18" s="54">
        <v>40450</v>
      </c>
      <c r="U18" s="54">
        <v>40479</v>
      </c>
      <c r="V18" s="56">
        <v>77</v>
      </c>
    </row>
    <row r="19" spans="1:22">
      <c r="A19" s="1">
        <v>40817</v>
      </c>
      <c r="B19" s="3">
        <v>65</v>
      </c>
      <c r="C19" s="3"/>
      <c r="D19" s="15">
        <f t="shared" si="0"/>
        <v>710</v>
      </c>
      <c r="E19" s="3">
        <v>-645</v>
      </c>
      <c r="F19" s="15">
        <f>HDD!B23</f>
        <v>267</v>
      </c>
      <c r="G19" s="15">
        <f>CDD!B23</f>
        <v>29</v>
      </c>
      <c r="I19">
        <v>254</v>
      </c>
      <c r="T19" s="54">
        <v>40479</v>
      </c>
      <c r="U19" s="54">
        <v>40508</v>
      </c>
      <c r="V19" s="56">
        <v>307</v>
      </c>
    </row>
    <row r="20" spans="1:22">
      <c r="A20" s="1">
        <v>40848</v>
      </c>
      <c r="B20" s="3">
        <v>178</v>
      </c>
      <c r="C20" s="3"/>
      <c r="D20" s="15">
        <f t="shared" si="0"/>
        <v>731</v>
      </c>
      <c r="E20" s="3">
        <v>-553</v>
      </c>
      <c r="F20" s="15">
        <f>HDD!B24</f>
        <v>449</v>
      </c>
      <c r="G20" s="15">
        <f>CDD!B24</f>
        <v>1</v>
      </c>
      <c r="I20">
        <v>232</v>
      </c>
      <c r="T20" s="54">
        <v>40508</v>
      </c>
      <c r="U20" s="54">
        <v>40541</v>
      </c>
      <c r="V20" s="55">
        <v>1137</v>
      </c>
    </row>
    <row r="21" spans="1:22">
      <c r="A21" s="1">
        <v>40878</v>
      </c>
      <c r="B21" s="3">
        <v>491</v>
      </c>
      <c r="C21" s="3"/>
      <c r="D21" s="15">
        <f t="shared" si="0"/>
        <v>899</v>
      </c>
      <c r="E21" s="3">
        <v>-408</v>
      </c>
      <c r="F21" s="15">
        <f>HDD!B25</f>
        <v>764</v>
      </c>
      <c r="G21" s="15">
        <f>CDD!B25</f>
        <v>0</v>
      </c>
      <c r="I21">
        <v>131</v>
      </c>
      <c r="T21" s="54">
        <v>40541</v>
      </c>
      <c r="U21" s="54">
        <v>40571</v>
      </c>
      <c r="V21" s="56">
        <v>875</v>
      </c>
    </row>
    <row r="22" spans="1:22">
      <c r="A22" s="1">
        <v>40909</v>
      </c>
      <c r="B22" s="3">
        <v>340</v>
      </c>
      <c r="C22" s="3"/>
      <c r="D22" s="15">
        <f t="shared" si="0"/>
        <v>854</v>
      </c>
      <c r="E22" s="3">
        <v>-514</v>
      </c>
      <c r="F22" s="15">
        <f>HDD!B26</f>
        <v>959</v>
      </c>
      <c r="G22" s="15">
        <f>CDD!B26</f>
        <v>0</v>
      </c>
      <c r="I22">
        <v>153</v>
      </c>
      <c r="T22" s="54">
        <v>40571</v>
      </c>
      <c r="U22" s="54">
        <v>40599</v>
      </c>
      <c r="V22" s="56">
        <v>374</v>
      </c>
    </row>
    <row r="23" spans="1:22">
      <c r="A23" s="1">
        <v>40940</v>
      </c>
      <c r="B23" s="3">
        <v>1</v>
      </c>
      <c r="C23" s="3"/>
      <c r="D23" s="15">
        <f t="shared" si="0"/>
        <v>652</v>
      </c>
      <c r="E23" s="3">
        <v>-651</v>
      </c>
      <c r="F23" s="15">
        <f>HDD!B27</f>
        <v>801</v>
      </c>
      <c r="G23" s="15">
        <f>CDD!B27</f>
        <v>0</v>
      </c>
      <c r="I23">
        <v>214</v>
      </c>
      <c r="T23" s="54">
        <v>40599</v>
      </c>
      <c r="U23" s="54">
        <v>40631</v>
      </c>
      <c r="V23" s="56">
        <v>36</v>
      </c>
    </row>
    <row r="24" spans="1:22">
      <c r="A24" s="1">
        <v>40969</v>
      </c>
      <c r="B24" s="3">
        <v>0</v>
      </c>
      <c r="C24" s="3">
        <v>-68</v>
      </c>
      <c r="D24" s="15">
        <f t="shared" si="0"/>
        <v>651</v>
      </c>
      <c r="E24" s="3">
        <v>-719</v>
      </c>
      <c r="F24" s="15">
        <f>HDD!B28</f>
        <v>608</v>
      </c>
      <c r="G24" s="15">
        <f>CDD!B28</f>
        <v>18</v>
      </c>
      <c r="I24">
        <v>315</v>
      </c>
      <c r="T24" s="54">
        <v>40631</v>
      </c>
      <c r="U24" s="54">
        <v>40662</v>
      </c>
      <c r="V24" s="56">
        <v>45</v>
      </c>
    </row>
    <row r="25" spans="1:22">
      <c r="A25" s="1">
        <v>41000</v>
      </c>
      <c r="B25" s="3">
        <v>0</v>
      </c>
      <c r="C25" s="3">
        <v>-239</v>
      </c>
      <c r="D25" s="15">
        <f t="shared" si="0"/>
        <v>655</v>
      </c>
      <c r="E25" s="3">
        <v>-894</v>
      </c>
      <c r="F25" s="15">
        <f>HDD!B29</f>
        <v>398</v>
      </c>
      <c r="G25" s="15">
        <f>CDD!B29</f>
        <v>25</v>
      </c>
      <c r="I25">
        <v>414</v>
      </c>
      <c r="T25" s="54">
        <v>40662</v>
      </c>
      <c r="U25" s="54">
        <v>40690</v>
      </c>
      <c r="V25" s="56">
        <v>104</v>
      </c>
    </row>
    <row r="26" spans="1:22">
      <c r="A26" s="1">
        <v>41030</v>
      </c>
      <c r="B26" s="3">
        <v>0</v>
      </c>
      <c r="C26" s="3"/>
      <c r="D26" s="15">
        <f t="shared" si="0"/>
        <v>696</v>
      </c>
      <c r="E26" s="3">
        <v>-696</v>
      </c>
      <c r="F26" s="15">
        <f>HDD!B30</f>
        <v>204</v>
      </c>
      <c r="G26" s="15">
        <f>CDD!B30</f>
        <v>42</v>
      </c>
      <c r="I26">
        <v>320</v>
      </c>
      <c r="T26" s="54">
        <v>40690</v>
      </c>
      <c r="U26" s="54">
        <v>40721</v>
      </c>
      <c r="V26" s="56">
        <v>90</v>
      </c>
    </row>
    <row r="27" spans="1:22">
      <c r="A27" s="1">
        <v>41061</v>
      </c>
      <c r="B27" s="3">
        <v>101</v>
      </c>
      <c r="C27" s="3"/>
      <c r="D27" s="15">
        <f t="shared" si="0"/>
        <v>883</v>
      </c>
      <c r="E27" s="38">
        <v>-782</v>
      </c>
      <c r="F27" s="15">
        <f>HDD!B31</f>
        <v>94</v>
      </c>
      <c r="G27" s="15">
        <f>CDD!B31</f>
        <v>142</v>
      </c>
      <c r="H27" s="15"/>
      <c r="I27">
        <v>376</v>
      </c>
      <c r="T27" s="54">
        <v>40721</v>
      </c>
      <c r="U27" s="54">
        <v>40751</v>
      </c>
      <c r="V27" s="56">
        <v>226</v>
      </c>
    </row>
    <row r="28" spans="1:22">
      <c r="A28" s="1">
        <v>41091</v>
      </c>
      <c r="B28" s="37">
        <v>556</v>
      </c>
      <c r="C28" s="37"/>
      <c r="D28" s="15">
        <f t="shared" si="0"/>
        <v>1406</v>
      </c>
      <c r="E28" s="37">
        <v>-850</v>
      </c>
      <c r="F28" s="15">
        <f>HDD!B32</f>
        <v>2</v>
      </c>
      <c r="G28" s="15">
        <f>CDD!B32</f>
        <v>304</v>
      </c>
      <c r="I28">
        <v>431</v>
      </c>
      <c r="T28" s="54">
        <v>40751</v>
      </c>
      <c r="U28" s="54">
        <v>40781</v>
      </c>
      <c r="V28" s="56">
        <v>153</v>
      </c>
    </row>
    <row r="29" spans="1:22">
      <c r="A29" s="1">
        <v>41122</v>
      </c>
      <c r="B29" s="37">
        <v>576</v>
      </c>
      <c r="C29" s="37"/>
      <c r="D29" s="15">
        <f t="shared" si="0"/>
        <v>1450</v>
      </c>
      <c r="E29" s="37">
        <v>-874</v>
      </c>
      <c r="T29" s="54">
        <v>40781</v>
      </c>
      <c r="U29" s="54">
        <v>40812</v>
      </c>
      <c r="V29" s="56">
        <v>93</v>
      </c>
    </row>
    <row r="30" spans="1:22">
      <c r="T30" s="54">
        <v>40812</v>
      </c>
      <c r="U30" s="54">
        <v>40842</v>
      </c>
      <c r="V30" s="56">
        <v>65</v>
      </c>
    </row>
    <row r="31" spans="1:22">
      <c r="I31" s="15" t="s">
        <v>13</v>
      </c>
      <c r="K31" s="15" t="s">
        <v>40</v>
      </c>
      <c r="T31" s="54">
        <v>40842</v>
      </c>
      <c r="U31" s="54">
        <v>40876</v>
      </c>
      <c r="V31" s="56">
        <v>178</v>
      </c>
    </row>
    <row r="32" spans="1:22">
      <c r="I32" s="1">
        <v>40544</v>
      </c>
      <c r="K32">
        <v>70</v>
      </c>
      <c r="T32" s="54">
        <v>40876</v>
      </c>
      <c r="U32" s="54">
        <v>40906</v>
      </c>
      <c r="V32" s="56">
        <v>491</v>
      </c>
    </row>
    <row r="33" spans="9:22">
      <c r="I33" s="1">
        <v>40575</v>
      </c>
      <c r="K33">
        <v>575</v>
      </c>
      <c r="T33" s="54">
        <v>40906</v>
      </c>
      <c r="U33" s="54">
        <v>40935</v>
      </c>
      <c r="V33" s="56">
        <v>340</v>
      </c>
    </row>
    <row r="34" spans="9:22">
      <c r="I34" s="1">
        <v>40603</v>
      </c>
      <c r="K34">
        <v>741</v>
      </c>
      <c r="T34" s="54">
        <v>40935</v>
      </c>
      <c r="U34" s="54">
        <v>40963</v>
      </c>
      <c r="V34" s="56">
        <v>1</v>
      </c>
    </row>
    <row r="35" spans="9:22">
      <c r="I35" s="1">
        <v>40634</v>
      </c>
      <c r="K35">
        <v>730</v>
      </c>
      <c r="T35" s="54">
        <v>40963</v>
      </c>
      <c r="U35" s="54">
        <v>40995</v>
      </c>
      <c r="V35" s="56">
        <v>0</v>
      </c>
    </row>
    <row r="36" spans="9:22">
      <c r="I36" s="1">
        <v>40664</v>
      </c>
      <c r="K36">
        <v>841</v>
      </c>
      <c r="T36" s="54">
        <v>40995</v>
      </c>
      <c r="U36" s="54">
        <v>41026</v>
      </c>
      <c r="V36" s="56">
        <v>0</v>
      </c>
    </row>
    <row r="37" spans="9:22">
      <c r="I37" s="1">
        <v>40695</v>
      </c>
      <c r="K37">
        <v>878</v>
      </c>
      <c r="T37" s="54">
        <v>41026</v>
      </c>
      <c r="U37" s="54">
        <v>41060</v>
      </c>
      <c r="V37" s="56">
        <v>0</v>
      </c>
    </row>
    <row r="38" spans="9:22">
      <c r="I38" s="1">
        <v>40725</v>
      </c>
      <c r="K38">
        <v>1102</v>
      </c>
      <c r="T38" s="54">
        <v>41060</v>
      </c>
      <c r="U38" s="54">
        <v>41088</v>
      </c>
      <c r="V38" s="56">
        <v>101</v>
      </c>
    </row>
    <row r="39" spans="9:22">
      <c r="I39" s="1">
        <v>40756</v>
      </c>
      <c r="K39">
        <v>997</v>
      </c>
      <c r="T39" s="54">
        <v>41088</v>
      </c>
      <c r="U39" s="54">
        <v>41121</v>
      </c>
      <c r="V39" s="56">
        <v>556</v>
      </c>
    </row>
    <row r="40" spans="9:22">
      <c r="I40" s="1">
        <v>40787</v>
      </c>
      <c r="K40">
        <v>803</v>
      </c>
      <c r="T40" s="54">
        <v>41121</v>
      </c>
      <c r="U40" s="54">
        <v>41149</v>
      </c>
      <c r="V40" s="56">
        <v>576</v>
      </c>
    </row>
    <row r="41" spans="9:22">
      <c r="I41" s="1">
        <v>40817</v>
      </c>
      <c r="K41">
        <v>721</v>
      </c>
    </row>
    <row r="42" spans="9:22">
      <c r="I42" s="1">
        <v>40848</v>
      </c>
      <c r="K42">
        <v>710</v>
      </c>
    </row>
    <row r="43" spans="9:22">
      <c r="I43" s="1">
        <v>40878</v>
      </c>
      <c r="K43">
        <v>933</v>
      </c>
    </row>
    <row r="44" spans="9:22">
      <c r="I44" s="1">
        <v>40909</v>
      </c>
      <c r="K44">
        <v>824</v>
      </c>
    </row>
    <row r="45" spans="9:22">
      <c r="I45" s="1">
        <v>40940</v>
      </c>
      <c r="K45">
        <v>645</v>
      </c>
    </row>
    <row r="46" spans="9:22">
      <c r="I46" s="1">
        <v>40969</v>
      </c>
      <c r="K46">
        <v>660</v>
      </c>
    </row>
    <row r="47" spans="9:22">
      <c r="I47" s="1">
        <v>41000</v>
      </c>
      <c r="K47">
        <v>604</v>
      </c>
    </row>
    <row r="48" spans="9:22">
      <c r="I48" s="1">
        <v>41030</v>
      </c>
      <c r="K48">
        <v>762</v>
      </c>
    </row>
    <row r="49" spans="9:11">
      <c r="I49" s="1">
        <v>41061</v>
      </c>
      <c r="K49">
        <v>930</v>
      </c>
    </row>
    <row r="50" spans="9:11">
      <c r="I50" s="1">
        <v>41091</v>
      </c>
      <c r="K50">
        <v>1412</v>
      </c>
    </row>
    <row r="51" spans="9:11">
      <c r="I51" s="1">
        <v>41122</v>
      </c>
      <c r="K51">
        <v>1487</v>
      </c>
    </row>
  </sheetData>
  <mergeCells count="1">
    <mergeCell ref="B4:C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9"/>
  <sheetViews>
    <sheetView topLeftCell="A20" workbookViewId="0">
      <selection activeCell="T11" sqref="T11"/>
    </sheetView>
  </sheetViews>
  <sheetFormatPr defaultRowHeight="15"/>
  <cols>
    <col min="8" max="9" width="9.140625" style="15"/>
    <col min="16" max="16" width="9.140625" style="15"/>
    <col min="19" max="19" width="9.140625" style="15"/>
    <col min="21" max="21" width="9.140625" style="15"/>
    <col min="27" max="27" width="9.140625" style="15"/>
  </cols>
  <sheetData>
    <row r="1" spans="2:30">
      <c r="C1" s="15" t="s">
        <v>24</v>
      </c>
      <c r="E1" s="19">
        <f>1/E4</f>
        <v>292.99736302373282</v>
      </c>
    </row>
    <row r="2" spans="2:30">
      <c r="C2" s="15" t="s">
        <v>21</v>
      </c>
      <c r="E2" s="17">
        <f>100000/1000000</f>
        <v>0.1</v>
      </c>
      <c r="K2" s="15"/>
    </row>
    <row r="3" spans="2:30" s="15" customFormat="1">
      <c r="C3" s="15" t="s">
        <v>47</v>
      </c>
      <c r="E3" s="17">
        <f>138.6905/1000</f>
        <v>0.13869049999999999</v>
      </c>
    </row>
    <row r="4" spans="2:30">
      <c r="C4" s="15" t="s">
        <v>20</v>
      </c>
      <c r="E4">
        <f>3413/1000000</f>
        <v>3.4129999999999998E-3</v>
      </c>
    </row>
    <row r="5" spans="2:30">
      <c r="B5" s="15" t="s">
        <v>23</v>
      </c>
      <c r="E5">
        <v>3.34</v>
      </c>
    </row>
    <row r="6" spans="2:30">
      <c r="B6" s="15" t="s">
        <v>22</v>
      </c>
      <c r="E6">
        <v>1.0469999999999999</v>
      </c>
    </row>
    <row r="7" spans="2:30">
      <c r="B7" s="15" t="s">
        <v>46</v>
      </c>
      <c r="E7">
        <v>1.01</v>
      </c>
      <c r="Y7" s="15" t="s">
        <v>27</v>
      </c>
      <c r="AB7" s="15" t="s">
        <v>30</v>
      </c>
    </row>
    <row r="8" spans="2:30">
      <c r="J8" s="15"/>
      <c r="K8" s="82" t="s">
        <v>1</v>
      </c>
      <c r="L8" s="82"/>
      <c r="M8" s="15" t="s">
        <v>25</v>
      </c>
      <c r="N8" s="15"/>
      <c r="O8" s="15"/>
      <c r="Q8" s="15" t="s">
        <v>26</v>
      </c>
      <c r="S8" s="15" t="s">
        <v>17</v>
      </c>
      <c r="T8" s="15" t="s">
        <v>18</v>
      </c>
    </row>
    <row r="9" spans="2:30" s="79" customFormat="1" ht="75">
      <c r="C9" s="79" t="s">
        <v>60</v>
      </c>
      <c r="D9" s="79" t="s">
        <v>17</v>
      </c>
      <c r="E9" s="79" t="s">
        <v>18</v>
      </c>
      <c r="G9" s="79" t="s">
        <v>16</v>
      </c>
      <c r="H9" s="79" t="s">
        <v>19</v>
      </c>
      <c r="K9" s="20" t="str">
        <f>Elec!B5</f>
        <v>House</v>
      </c>
      <c r="L9" s="21" t="s">
        <v>83</v>
      </c>
      <c r="M9" s="79" t="s">
        <v>2</v>
      </c>
      <c r="N9" s="79" t="s">
        <v>3</v>
      </c>
      <c r="P9" s="79" t="s">
        <v>110</v>
      </c>
      <c r="Q9" s="79" t="s">
        <v>112</v>
      </c>
      <c r="R9" s="80" t="s">
        <v>82</v>
      </c>
      <c r="T9" s="79" t="s">
        <v>112</v>
      </c>
      <c r="U9" s="79" t="s">
        <v>109</v>
      </c>
      <c r="V9" s="79" t="s">
        <v>0</v>
      </c>
      <c r="W9" s="79" t="s">
        <v>4</v>
      </c>
      <c r="Y9" s="79" t="s">
        <v>28</v>
      </c>
      <c r="Z9" s="79" t="s">
        <v>29</v>
      </c>
      <c r="AA9" s="79" t="s">
        <v>82</v>
      </c>
      <c r="AB9" s="79" t="s">
        <v>28</v>
      </c>
      <c r="AC9" s="79" t="s">
        <v>29</v>
      </c>
      <c r="AD9" s="79" t="s">
        <v>82</v>
      </c>
    </row>
    <row r="10" spans="2:30" s="15" customFormat="1">
      <c r="O10" s="15" t="s">
        <v>84</v>
      </c>
      <c r="R10" s="58"/>
    </row>
    <row r="11" spans="2:30" s="15" customFormat="1">
      <c r="B11" s="1">
        <v>40452</v>
      </c>
      <c r="C11" s="57">
        <f>Gas!B7</f>
        <v>0</v>
      </c>
      <c r="D11" s="18">
        <f>C11*E$2</f>
        <v>0</v>
      </c>
      <c r="E11" s="19">
        <f>D11*E$6</f>
        <v>0</v>
      </c>
      <c r="G11" s="19">
        <f t="shared" ref="G11:G13" si="0">D11*E$1</f>
        <v>0</v>
      </c>
      <c r="H11" s="19">
        <f t="shared" ref="H11:H13" si="1">E11*E$1</f>
        <v>0</v>
      </c>
      <c r="J11" s="1">
        <v>40452</v>
      </c>
      <c r="K11" s="39">
        <f>Elec!B7</f>
        <v>77</v>
      </c>
      <c r="L11" s="39">
        <f>Elec!C7</f>
        <v>0</v>
      </c>
      <c r="M11" s="15">
        <f>SUM(K11+L11)+N11</f>
        <v>77</v>
      </c>
      <c r="N11" s="39">
        <f>-(Elec!E7)</f>
        <v>0</v>
      </c>
      <c r="O11" s="15">
        <f>N11+L11</f>
        <v>0</v>
      </c>
      <c r="P11" s="15">
        <f t="shared" ref="P11:P14" si="2">K11+L11</f>
        <v>77</v>
      </c>
      <c r="Q11" s="15">
        <f>P11*E$5+O11</f>
        <v>257.18</v>
      </c>
      <c r="R11" s="58">
        <f>M11*E$5</f>
        <v>257.18</v>
      </c>
      <c r="S11" s="19">
        <f t="shared" ref="S11:S13" si="3">M11*E$4</f>
        <v>0.26280100000000001</v>
      </c>
      <c r="T11" s="19">
        <f>Q11*E$4</f>
        <v>0.87775534</v>
      </c>
      <c r="U11" s="19">
        <f>R11*$E$4</f>
        <v>0.87775534</v>
      </c>
      <c r="V11" s="15">
        <f>HDD!B11</f>
        <v>320</v>
      </c>
      <c r="W11" s="15">
        <f>CDD!B11</f>
        <v>18</v>
      </c>
      <c r="Y11" s="19">
        <f t="shared" ref="Y11:Y13" si="4">G11+M11</f>
        <v>77</v>
      </c>
      <c r="Z11" s="19">
        <f t="shared" ref="Z11:Z13" si="5">H11+Q11</f>
        <v>257.18</v>
      </c>
      <c r="AA11" s="19">
        <f>H11+R11</f>
        <v>257.18</v>
      </c>
      <c r="AB11" s="19">
        <f t="shared" ref="AB11:AB13" si="6">D11+S11</f>
        <v>0.26280100000000001</v>
      </c>
      <c r="AC11" s="19">
        <f t="shared" ref="AC11:AC13" si="7">E11+T11</f>
        <v>0.87775534</v>
      </c>
      <c r="AD11" s="19">
        <f>E11+R11*E$4</f>
        <v>0.87775534</v>
      </c>
    </row>
    <row r="12" spans="2:30" s="15" customFormat="1">
      <c r="B12" s="1">
        <v>40483</v>
      </c>
      <c r="C12" s="57">
        <f>Gas!B8</f>
        <v>0</v>
      </c>
      <c r="D12" s="18">
        <f t="shared" ref="D12:D33" si="8">C12*E$2</f>
        <v>0</v>
      </c>
      <c r="E12" s="19">
        <f t="shared" ref="E12:E34" si="9">D12*E$6</f>
        <v>0</v>
      </c>
      <c r="G12" s="19">
        <f t="shared" si="0"/>
        <v>0</v>
      </c>
      <c r="H12" s="19">
        <f t="shared" si="1"/>
        <v>0</v>
      </c>
      <c r="J12" s="1">
        <v>40483</v>
      </c>
      <c r="K12" s="39">
        <f>Elec!B8</f>
        <v>307</v>
      </c>
      <c r="L12" s="39">
        <f>Elec!C8</f>
        <v>0</v>
      </c>
      <c r="M12" s="15">
        <f t="shared" ref="M12:M32" si="10">SUM(K12+L12)+N12</f>
        <v>307</v>
      </c>
      <c r="N12" s="39">
        <f>-(Elec!E8)</f>
        <v>0</v>
      </c>
      <c r="O12" s="15">
        <f t="shared" ref="O12:O32" si="11">N12+L12</f>
        <v>0</v>
      </c>
      <c r="P12" s="15">
        <f t="shared" si="2"/>
        <v>307</v>
      </c>
      <c r="Q12" s="15">
        <f t="shared" ref="Q12:Q32" si="12">P12*E$5+O12</f>
        <v>1025.3799999999999</v>
      </c>
      <c r="R12" s="58">
        <f t="shared" ref="R12:R32" si="13">M12*E$5</f>
        <v>1025.3799999999999</v>
      </c>
      <c r="S12" s="19">
        <f t="shared" si="3"/>
        <v>1.0477909999999999</v>
      </c>
      <c r="T12" s="19">
        <f t="shared" ref="T12:T32" si="14">Q12*E$4</f>
        <v>3.4996219399999995</v>
      </c>
      <c r="U12" s="19">
        <f t="shared" ref="U12:U32" si="15">R12*$E$4</f>
        <v>3.4996219399999995</v>
      </c>
      <c r="V12" s="15">
        <f>HDD!B12</f>
        <v>608</v>
      </c>
      <c r="W12" s="15">
        <f>CDD!B12</f>
        <v>0</v>
      </c>
      <c r="Y12" s="19">
        <f t="shared" si="4"/>
        <v>307</v>
      </c>
      <c r="Z12" s="19">
        <f t="shared" si="5"/>
        <v>1025.3799999999999</v>
      </c>
      <c r="AA12" s="19">
        <f t="shared" ref="AA12:AA32" si="16">H12+R12</f>
        <v>1025.3799999999999</v>
      </c>
      <c r="AB12" s="19">
        <f t="shared" si="6"/>
        <v>1.0477909999999999</v>
      </c>
      <c r="AC12" s="19">
        <f t="shared" si="7"/>
        <v>3.4996219399999995</v>
      </c>
      <c r="AD12" s="19">
        <f t="shared" ref="AD12:AD32" si="17">E12+R12*E$4</f>
        <v>3.4996219399999995</v>
      </c>
    </row>
    <row r="13" spans="2:30">
      <c r="B13" s="1">
        <v>40513</v>
      </c>
      <c r="C13" s="57">
        <f>Gas!B9</f>
        <v>0</v>
      </c>
      <c r="D13" s="18">
        <f t="shared" si="8"/>
        <v>0</v>
      </c>
      <c r="E13" s="19">
        <f t="shared" si="9"/>
        <v>0</v>
      </c>
      <c r="G13" s="19">
        <f t="shared" si="0"/>
        <v>0</v>
      </c>
      <c r="H13" s="19">
        <f t="shared" si="1"/>
        <v>0</v>
      </c>
      <c r="J13" s="1">
        <v>40513</v>
      </c>
      <c r="K13" s="39">
        <f>Elec!B9</f>
        <v>1137</v>
      </c>
      <c r="L13" s="39">
        <f>Elec!C9</f>
        <v>0</v>
      </c>
      <c r="M13" s="15">
        <f t="shared" si="10"/>
        <v>1137</v>
      </c>
      <c r="N13" s="39">
        <f>-(Elec!E9)</f>
        <v>0</v>
      </c>
      <c r="O13" s="15">
        <f t="shared" si="11"/>
        <v>0</v>
      </c>
      <c r="P13" s="15">
        <f t="shared" si="2"/>
        <v>1137</v>
      </c>
      <c r="Q13" s="15">
        <f t="shared" si="12"/>
        <v>3797.58</v>
      </c>
      <c r="R13" s="58">
        <f t="shared" si="13"/>
        <v>3797.58</v>
      </c>
      <c r="S13" s="19">
        <f t="shared" si="3"/>
        <v>3.8805809999999998</v>
      </c>
      <c r="T13" s="19">
        <f t="shared" si="14"/>
        <v>12.961140539999999</v>
      </c>
      <c r="U13" s="19">
        <f t="shared" si="15"/>
        <v>12.961140539999999</v>
      </c>
      <c r="V13" s="15">
        <f>HDD!B13</f>
        <v>1010</v>
      </c>
      <c r="W13" s="15">
        <f>CDD!B13</f>
        <v>0</v>
      </c>
      <c r="X13" s="15"/>
      <c r="Y13" s="40">
        <f t="shared" si="4"/>
        <v>1137</v>
      </c>
      <c r="Z13" s="41">
        <f t="shared" si="5"/>
        <v>3797.58</v>
      </c>
      <c r="AA13" s="19">
        <f t="shared" si="16"/>
        <v>3797.58</v>
      </c>
      <c r="AB13" s="41">
        <f t="shared" si="6"/>
        <v>3.8805809999999998</v>
      </c>
      <c r="AC13" s="42">
        <f t="shared" si="7"/>
        <v>12.961140539999999</v>
      </c>
      <c r="AD13" s="19">
        <f t="shared" si="17"/>
        <v>12.961140539999999</v>
      </c>
    </row>
    <row r="14" spans="2:30">
      <c r="B14" s="1">
        <v>40544</v>
      </c>
      <c r="C14" s="57">
        <f>Gas!B10</f>
        <v>124.70479394449117</v>
      </c>
      <c r="D14" s="18">
        <f t="shared" si="8"/>
        <v>12.470479394449118</v>
      </c>
      <c r="E14" s="19">
        <f t="shared" si="9"/>
        <v>13.056591925988226</v>
      </c>
      <c r="G14" s="19">
        <f t="shared" ref="G14:G32" si="18">D14*E$1</f>
        <v>3653.817578215388</v>
      </c>
      <c r="H14" s="19">
        <f t="shared" ref="H14:H32" si="19">E14*E$1</f>
        <v>3825.5470043915111</v>
      </c>
      <c r="I14" s="19"/>
      <c r="J14" s="1">
        <v>40544</v>
      </c>
      <c r="K14" s="39">
        <f>Elec!B10</f>
        <v>875</v>
      </c>
      <c r="L14" s="39">
        <f>Elec!C10</f>
        <v>0</v>
      </c>
      <c r="M14" s="15">
        <f t="shared" si="10"/>
        <v>875</v>
      </c>
      <c r="N14" s="39">
        <f>-(Elec!E10)</f>
        <v>0</v>
      </c>
      <c r="O14" s="15">
        <f t="shared" si="11"/>
        <v>0</v>
      </c>
      <c r="P14" s="15">
        <f t="shared" si="2"/>
        <v>875</v>
      </c>
      <c r="Q14" s="15">
        <f t="shared" si="12"/>
        <v>2922.5</v>
      </c>
      <c r="R14" s="58">
        <f t="shared" si="13"/>
        <v>2922.5</v>
      </c>
      <c r="S14" s="19">
        <f>M14*E$4</f>
        <v>2.9863749999999998</v>
      </c>
      <c r="T14" s="19">
        <f t="shared" si="14"/>
        <v>9.9744925000000002</v>
      </c>
      <c r="U14" s="19">
        <f t="shared" si="15"/>
        <v>9.9744925000000002</v>
      </c>
      <c r="V14" s="15">
        <f>HDD!B14</f>
        <v>1154</v>
      </c>
      <c r="W14" s="15">
        <f>CDD!B14</f>
        <v>0</v>
      </c>
      <c r="Y14" s="43">
        <f>G14+M14</f>
        <v>4528.8175782153885</v>
      </c>
      <c r="Z14" s="44">
        <f>H14+Q14</f>
        <v>6748.0470043915111</v>
      </c>
      <c r="AA14" s="19">
        <f t="shared" si="16"/>
        <v>6748.0470043915111</v>
      </c>
      <c r="AB14" s="44">
        <f>D14+S14</f>
        <v>15.456854394449117</v>
      </c>
      <c r="AC14" s="45">
        <f>E14+T14</f>
        <v>23.031084425988226</v>
      </c>
      <c r="AD14" s="19">
        <f t="shared" si="17"/>
        <v>23.031084425988226</v>
      </c>
    </row>
    <row r="15" spans="2:30">
      <c r="B15" s="1">
        <v>40575</v>
      </c>
      <c r="C15" s="57">
        <f>Gas!B11</f>
        <v>82.793103448275872</v>
      </c>
      <c r="D15" s="18">
        <f t="shared" si="8"/>
        <v>8.2793103448275875</v>
      </c>
      <c r="E15" s="19">
        <f t="shared" si="9"/>
        <v>8.6684379310344841</v>
      </c>
      <c r="G15" s="19">
        <f t="shared" si="18"/>
        <v>2425.816098689595</v>
      </c>
      <c r="H15" s="19">
        <f t="shared" si="19"/>
        <v>2539.8294553280061</v>
      </c>
      <c r="I15" s="19"/>
      <c r="J15" s="1">
        <v>40575</v>
      </c>
      <c r="K15" s="39">
        <f>Elec!B11</f>
        <v>374</v>
      </c>
      <c r="L15" s="39">
        <f>Elec!C11</f>
        <v>0</v>
      </c>
      <c r="M15" s="15">
        <f t="shared" si="10"/>
        <v>686</v>
      </c>
      <c r="N15" s="39">
        <f>-(Elec!E11)</f>
        <v>312</v>
      </c>
      <c r="O15" s="15">
        <f t="shared" si="11"/>
        <v>312</v>
      </c>
      <c r="P15" s="15">
        <f>K15+L15</f>
        <v>374</v>
      </c>
      <c r="Q15" s="15">
        <f t="shared" si="12"/>
        <v>1561.1599999999999</v>
      </c>
      <c r="R15" s="58">
        <f t="shared" si="13"/>
        <v>2291.2399999999998</v>
      </c>
      <c r="S15" s="19">
        <f t="shared" ref="S15:S32" si="20">M15*E$4</f>
        <v>2.3413179999999998</v>
      </c>
      <c r="T15" s="19">
        <f t="shared" si="14"/>
        <v>5.3282390799999995</v>
      </c>
      <c r="U15" s="19">
        <f t="shared" si="15"/>
        <v>7.8200021199999989</v>
      </c>
      <c r="V15" s="15">
        <f>HDD!B15</f>
        <v>964</v>
      </c>
      <c r="W15" s="15">
        <f>CDD!B15</f>
        <v>0</v>
      </c>
      <c r="Y15" s="43">
        <f t="shared" ref="Y15:Y32" si="21">G15+M15</f>
        <v>3111.816098689595</v>
      </c>
      <c r="Z15" s="44">
        <f t="shared" ref="Z15:Z32" si="22">H15+Q15</f>
        <v>4100.9894553280064</v>
      </c>
      <c r="AA15" s="19">
        <f t="shared" si="16"/>
        <v>4831.0694553280064</v>
      </c>
      <c r="AB15" s="44">
        <f t="shared" ref="AB15:AB32" si="23">D15+S15</f>
        <v>10.620628344827587</v>
      </c>
      <c r="AC15" s="45">
        <f t="shared" ref="AC15:AC32" si="24">E15+T15</f>
        <v>13.996677011034484</v>
      </c>
      <c r="AD15" s="19">
        <f t="shared" si="17"/>
        <v>16.488440051034484</v>
      </c>
    </row>
    <row r="16" spans="2:30">
      <c r="B16" s="1">
        <v>40603</v>
      </c>
      <c r="C16" s="57">
        <f>Gas!B12</f>
        <v>60.96551724137931</v>
      </c>
      <c r="D16" s="18">
        <f t="shared" si="8"/>
        <v>6.0965517241379317</v>
      </c>
      <c r="E16" s="19">
        <f t="shared" si="9"/>
        <v>6.3830896551724141</v>
      </c>
      <c r="G16" s="19">
        <f t="shared" si="18"/>
        <v>1786.2735787102058</v>
      </c>
      <c r="H16" s="19">
        <f t="shared" si="19"/>
        <v>1870.2284369095853</v>
      </c>
      <c r="I16" s="19"/>
      <c r="J16" s="1">
        <v>40603</v>
      </c>
      <c r="K16" s="39">
        <f>Elec!B12</f>
        <v>36</v>
      </c>
      <c r="L16" s="39">
        <f>Elec!C12</f>
        <v>0</v>
      </c>
      <c r="M16" s="15">
        <f t="shared" si="10"/>
        <v>801</v>
      </c>
      <c r="N16" s="39">
        <f>-(Elec!E12)</f>
        <v>765</v>
      </c>
      <c r="O16" s="15">
        <f t="shared" si="11"/>
        <v>765</v>
      </c>
      <c r="P16" s="15">
        <f t="shared" ref="P16:P32" si="25">K16+L16</f>
        <v>36</v>
      </c>
      <c r="Q16" s="15">
        <f t="shared" si="12"/>
        <v>885.24</v>
      </c>
      <c r="R16" s="58">
        <f t="shared" si="13"/>
        <v>2675.3399999999997</v>
      </c>
      <c r="S16" s="19">
        <f t="shared" si="20"/>
        <v>2.733813</v>
      </c>
      <c r="T16" s="19">
        <f t="shared" si="14"/>
        <v>3.0213241200000001</v>
      </c>
      <c r="U16" s="19">
        <f t="shared" si="15"/>
        <v>9.1309354199999984</v>
      </c>
      <c r="V16" s="15">
        <f>HDD!B16</f>
        <v>813</v>
      </c>
      <c r="W16" s="15">
        <f>CDD!B16</f>
        <v>1</v>
      </c>
      <c r="Y16" s="43">
        <f t="shared" si="21"/>
        <v>2587.2735787102056</v>
      </c>
      <c r="Z16" s="44">
        <f t="shared" si="22"/>
        <v>2755.4684369095853</v>
      </c>
      <c r="AA16" s="19">
        <f t="shared" si="16"/>
        <v>4545.5684369095852</v>
      </c>
      <c r="AB16" s="44">
        <f t="shared" si="23"/>
        <v>8.8303647241379313</v>
      </c>
      <c r="AC16" s="45">
        <f t="shared" si="24"/>
        <v>9.4044137751724151</v>
      </c>
      <c r="AD16" s="19">
        <f t="shared" si="17"/>
        <v>15.514025075172412</v>
      </c>
    </row>
    <row r="17" spans="2:30">
      <c r="B17" s="1">
        <v>40634</v>
      </c>
      <c r="C17" s="57">
        <f>Gas!B13</f>
        <v>37</v>
      </c>
      <c r="D17" s="18">
        <f t="shared" si="8"/>
        <v>3.7</v>
      </c>
      <c r="E17" s="19">
        <f t="shared" si="9"/>
        <v>3.8738999999999999</v>
      </c>
      <c r="G17" s="19">
        <f t="shared" si="18"/>
        <v>1084.0902431878114</v>
      </c>
      <c r="H17" s="19">
        <f t="shared" si="19"/>
        <v>1135.0424846176386</v>
      </c>
      <c r="I17" s="19"/>
      <c r="J17" s="1">
        <v>40634</v>
      </c>
      <c r="K17" s="39">
        <f>Elec!B13</f>
        <v>45</v>
      </c>
      <c r="L17" s="39">
        <f>Elec!C13</f>
        <v>0</v>
      </c>
      <c r="M17" s="15">
        <f t="shared" si="10"/>
        <v>712</v>
      </c>
      <c r="N17" s="39">
        <f>-(Elec!E13)</f>
        <v>667</v>
      </c>
      <c r="O17" s="15">
        <f t="shared" si="11"/>
        <v>667</v>
      </c>
      <c r="P17" s="15">
        <f t="shared" si="25"/>
        <v>45</v>
      </c>
      <c r="Q17" s="15">
        <f t="shared" si="12"/>
        <v>817.3</v>
      </c>
      <c r="R17" s="58">
        <f t="shared" si="13"/>
        <v>2378.08</v>
      </c>
      <c r="S17" s="19">
        <f t="shared" si="20"/>
        <v>2.430056</v>
      </c>
      <c r="T17" s="19">
        <f t="shared" si="14"/>
        <v>2.7894448999999999</v>
      </c>
      <c r="U17" s="19">
        <f t="shared" si="15"/>
        <v>8.1163870399999993</v>
      </c>
      <c r="V17" s="15">
        <f>HDD!B17</f>
        <v>468</v>
      </c>
      <c r="W17" s="15">
        <f>CDD!B17</f>
        <v>8</v>
      </c>
      <c r="Y17" s="43">
        <f t="shared" si="21"/>
        <v>1796.0902431878114</v>
      </c>
      <c r="Z17" s="44">
        <f t="shared" si="22"/>
        <v>1952.3424846176385</v>
      </c>
      <c r="AA17" s="19">
        <f t="shared" si="16"/>
        <v>3513.1224846176383</v>
      </c>
      <c r="AB17" s="44">
        <f t="shared" si="23"/>
        <v>6.1300559999999997</v>
      </c>
      <c r="AC17" s="45">
        <f t="shared" si="24"/>
        <v>6.6633449000000002</v>
      </c>
      <c r="AD17" s="19">
        <f t="shared" si="17"/>
        <v>11.990287039999998</v>
      </c>
    </row>
    <row r="18" spans="2:30">
      <c r="B18" s="1">
        <v>40664</v>
      </c>
      <c r="C18" s="57">
        <f>Gas!B14</f>
        <v>17</v>
      </c>
      <c r="D18" s="18">
        <f t="shared" si="8"/>
        <v>1.7000000000000002</v>
      </c>
      <c r="E18" s="19">
        <f t="shared" si="9"/>
        <v>1.7799</v>
      </c>
      <c r="G18" s="19">
        <f t="shared" si="18"/>
        <v>498.09551714034586</v>
      </c>
      <c r="H18" s="19">
        <f t="shared" si="19"/>
        <v>521.50600644594203</v>
      </c>
      <c r="I18" s="19"/>
      <c r="J18" s="1">
        <v>40664</v>
      </c>
      <c r="K18" s="39">
        <f>Elec!B14</f>
        <v>104</v>
      </c>
      <c r="L18" s="39">
        <f>Elec!C14</f>
        <v>0</v>
      </c>
      <c r="M18" s="15">
        <f t="shared" si="10"/>
        <v>825</v>
      </c>
      <c r="N18" s="39">
        <f>-(Elec!E14)</f>
        <v>721</v>
      </c>
      <c r="O18" s="15">
        <f t="shared" si="11"/>
        <v>721</v>
      </c>
      <c r="P18" s="15">
        <f t="shared" si="25"/>
        <v>104</v>
      </c>
      <c r="Q18" s="15">
        <f t="shared" si="12"/>
        <v>1068.3600000000001</v>
      </c>
      <c r="R18" s="58">
        <f t="shared" si="13"/>
        <v>2755.5</v>
      </c>
      <c r="S18" s="19">
        <f t="shared" si="20"/>
        <v>2.815725</v>
      </c>
      <c r="T18" s="19">
        <f t="shared" si="14"/>
        <v>3.6463126800000003</v>
      </c>
      <c r="U18" s="19">
        <f t="shared" si="15"/>
        <v>9.4045214999999995</v>
      </c>
      <c r="V18" s="15">
        <f>HDD!B18</f>
        <v>255</v>
      </c>
      <c r="W18" s="15">
        <f>CDD!B18</f>
        <v>50</v>
      </c>
      <c r="Y18" s="43">
        <f t="shared" si="21"/>
        <v>1323.0955171403459</v>
      </c>
      <c r="Z18" s="44">
        <f t="shared" si="22"/>
        <v>1589.8660064459423</v>
      </c>
      <c r="AA18" s="19">
        <f t="shared" si="16"/>
        <v>3277.0060064459421</v>
      </c>
      <c r="AB18" s="44">
        <f t="shared" si="23"/>
        <v>4.5157249999999998</v>
      </c>
      <c r="AC18" s="45">
        <f t="shared" si="24"/>
        <v>5.4262126800000008</v>
      </c>
      <c r="AD18" s="19">
        <f t="shared" si="17"/>
        <v>11.184421499999999</v>
      </c>
    </row>
    <row r="19" spans="2:30">
      <c r="B19" s="1">
        <v>40695</v>
      </c>
      <c r="C19" s="57">
        <f>Gas!B15</f>
        <v>12</v>
      </c>
      <c r="D19" s="18">
        <f t="shared" si="8"/>
        <v>1.2000000000000002</v>
      </c>
      <c r="E19" s="19">
        <f t="shared" si="9"/>
        <v>1.2564000000000002</v>
      </c>
      <c r="G19" s="19">
        <f t="shared" si="18"/>
        <v>351.59683562847943</v>
      </c>
      <c r="H19" s="19">
        <f t="shared" si="19"/>
        <v>368.12188690301798</v>
      </c>
      <c r="I19" s="19"/>
      <c r="J19" s="1">
        <v>40695</v>
      </c>
      <c r="K19" s="39">
        <f>Elec!B15</f>
        <v>90</v>
      </c>
      <c r="L19" s="39">
        <f>Elec!C15</f>
        <v>0</v>
      </c>
      <c r="M19" s="15">
        <f t="shared" si="10"/>
        <v>885</v>
      </c>
      <c r="N19" s="39">
        <f>-(Elec!E15)</f>
        <v>795</v>
      </c>
      <c r="O19" s="15">
        <f t="shared" si="11"/>
        <v>795</v>
      </c>
      <c r="P19" s="15">
        <f t="shared" si="25"/>
        <v>90</v>
      </c>
      <c r="Q19" s="15">
        <f t="shared" si="12"/>
        <v>1095.5999999999999</v>
      </c>
      <c r="R19" s="58">
        <f t="shared" si="13"/>
        <v>2955.9</v>
      </c>
      <c r="S19" s="19">
        <f t="shared" si="20"/>
        <v>3.020505</v>
      </c>
      <c r="T19" s="19">
        <f t="shared" si="14"/>
        <v>3.7392827999999994</v>
      </c>
      <c r="U19" s="19">
        <f t="shared" si="15"/>
        <v>10.088486699999999</v>
      </c>
      <c r="V19" s="15">
        <f>HDD!B19</f>
        <v>75</v>
      </c>
      <c r="W19" s="15">
        <f>CDD!B19</f>
        <v>130</v>
      </c>
      <c r="Y19" s="43">
        <f t="shared" si="21"/>
        <v>1236.5968356284793</v>
      </c>
      <c r="Z19" s="44">
        <f t="shared" si="22"/>
        <v>1463.721886903018</v>
      </c>
      <c r="AA19" s="19">
        <f t="shared" si="16"/>
        <v>3324.0218869030182</v>
      </c>
      <c r="AB19" s="44">
        <f t="shared" si="23"/>
        <v>4.2205050000000002</v>
      </c>
      <c r="AC19" s="45">
        <f t="shared" si="24"/>
        <v>4.9956827999999991</v>
      </c>
      <c r="AD19" s="19">
        <f t="shared" si="17"/>
        <v>11.3448867</v>
      </c>
    </row>
    <row r="20" spans="2:30">
      <c r="B20" s="1">
        <v>40735</v>
      </c>
      <c r="C20" s="57">
        <f>Gas!B16</f>
        <v>9</v>
      </c>
      <c r="D20" s="18">
        <f t="shared" si="8"/>
        <v>0.9</v>
      </c>
      <c r="E20" s="19">
        <f t="shared" si="9"/>
        <v>0.94229999999999992</v>
      </c>
      <c r="G20" s="19">
        <f t="shared" si="18"/>
        <v>263.69762672135954</v>
      </c>
      <c r="H20" s="19">
        <f t="shared" si="19"/>
        <v>276.0914151772634</v>
      </c>
      <c r="I20" s="19"/>
      <c r="J20" s="1">
        <v>40725</v>
      </c>
      <c r="K20" s="39">
        <f>Elec!B16</f>
        <v>226</v>
      </c>
      <c r="L20" s="39">
        <f>Elec!C16</f>
        <v>0</v>
      </c>
      <c r="M20" s="15">
        <f t="shared" si="10"/>
        <v>1112</v>
      </c>
      <c r="N20" s="39">
        <f>-(Elec!E16)</f>
        <v>886</v>
      </c>
      <c r="O20" s="15">
        <f t="shared" si="11"/>
        <v>886</v>
      </c>
      <c r="P20" s="15">
        <f t="shared" si="25"/>
        <v>226</v>
      </c>
      <c r="Q20" s="15">
        <f t="shared" si="12"/>
        <v>1640.84</v>
      </c>
      <c r="R20" s="58">
        <f t="shared" si="13"/>
        <v>3714.08</v>
      </c>
      <c r="S20" s="19">
        <f t="shared" si="20"/>
        <v>3.7952559999999997</v>
      </c>
      <c r="T20" s="19">
        <f t="shared" si="14"/>
        <v>5.6001869199999996</v>
      </c>
      <c r="U20" s="19">
        <f t="shared" si="15"/>
        <v>12.676155039999999</v>
      </c>
      <c r="V20" s="15">
        <f>HDD!B20</f>
        <v>0</v>
      </c>
      <c r="W20" s="15">
        <f>CDD!B20</f>
        <v>374</v>
      </c>
      <c r="Y20" s="43">
        <f t="shared" si="21"/>
        <v>1375.6976267213595</v>
      </c>
      <c r="Z20" s="44">
        <f t="shared" si="22"/>
        <v>1916.9314151772633</v>
      </c>
      <c r="AA20" s="19">
        <f t="shared" si="16"/>
        <v>3990.1714151772635</v>
      </c>
      <c r="AB20" s="44">
        <f t="shared" si="23"/>
        <v>4.6952559999999997</v>
      </c>
      <c r="AC20" s="45">
        <f t="shared" si="24"/>
        <v>6.54248692</v>
      </c>
      <c r="AD20" s="19">
        <f t="shared" si="17"/>
        <v>13.618455039999999</v>
      </c>
    </row>
    <row r="21" spans="2:30">
      <c r="B21" s="1">
        <v>40766</v>
      </c>
      <c r="C21" s="57">
        <f>Gas!B17</f>
        <v>8</v>
      </c>
      <c r="D21" s="18">
        <f t="shared" si="8"/>
        <v>0.8</v>
      </c>
      <c r="E21" s="19">
        <f t="shared" si="9"/>
        <v>0.83760000000000001</v>
      </c>
      <c r="G21" s="19">
        <f t="shared" si="18"/>
        <v>234.39789041898626</v>
      </c>
      <c r="H21" s="19">
        <f t="shared" si="19"/>
        <v>245.41459126867861</v>
      </c>
      <c r="I21" s="19"/>
      <c r="J21" s="1">
        <v>40756</v>
      </c>
      <c r="K21" s="39">
        <f>Elec!B17</f>
        <v>153</v>
      </c>
      <c r="L21" s="39">
        <f>Elec!C17</f>
        <v>0</v>
      </c>
      <c r="M21" s="15">
        <f t="shared" si="10"/>
        <v>953</v>
      </c>
      <c r="N21" s="39">
        <f>-(Elec!E17)</f>
        <v>800</v>
      </c>
      <c r="O21" s="15">
        <f t="shared" si="11"/>
        <v>800</v>
      </c>
      <c r="P21" s="15">
        <f t="shared" si="25"/>
        <v>153</v>
      </c>
      <c r="Q21" s="15">
        <f t="shared" si="12"/>
        <v>1311.02</v>
      </c>
      <c r="R21" s="58">
        <f t="shared" si="13"/>
        <v>3183.02</v>
      </c>
      <c r="S21" s="19">
        <f t="shared" si="20"/>
        <v>3.252589</v>
      </c>
      <c r="T21" s="19">
        <f t="shared" si="14"/>
        <v>4.4745112599999999</v>
      </c>
      <c r="U21" s="19">
        <f t="shared" si="15"/>
        <v>10.863647259999999</v>
      </c>
      <c r="V21" s="15">
        <f>HDD!B21</f>
        <v>2</v>
      </c>
      <c r="W21" s="15">
        <f>CDD!B21</f>
        <v>260</v>
      </c>
      <c r="Y21" s="43">
        <f t="shared" si="21"/>
        <v>1187.3978904189862</v>
      </c>
      <c r="Z21" s="44">
        <f t="shared" si="22"/>
        <v>1556.4345912686786</v>
      </c>
      <c r="AA21" s="19">
        <f t="shared" si="16"/>
        <v>3428.4345912686786</v>
      </c>
      <c r="AB21" s="44">
        <f t="shared" si="23"/>
        <v>4.0525890000000002</v>
      </c>
      <c r="AC21" s="45">
        <f t="shared" si="24"/>
        <v>5.31211126</v>
      </c>
      <c r="AD21" s="19">
        <f t="shared" si="17"/>
        <v>11.701247259999999</v>
      </c>
    </row>
    <row r="22" spans="2:30">
      <c r="B22" s="1">
        <v>40797</v>
      </c>
      <c r="C22" s="57">
        <f>Gas!B18</f>
        <v>9</v>
      </c>
      <c r="D22" s="18">
        <f t="shared" si="8"/>
        <v>0.9</v>
      </c>
      <c r="E22" s="19">
        <f t="shared" si="9"/>
        <v>0.94229999999999992</v>
      </c>
      <c r="G22" s="19">
        <f t="shared" si="18"/>
        <v>263.69762672135954</v>
      </c>
      <c r="H22" s="19">
        <f t="shared" si="19"/>
        <v>276.0914151772634</v>
      </c>
      <c r="I22" s="19"/>
      <c r="J22" s="1">
        <v>40787</v>
      </c>
      <c r="K22" s="39">
        <f>Elec!B18</f>
        <v>93</v>
      </c>
      <c r="L22" s="39">
        <f>Elec!C18</f>
        <v>0</v>
      </c>
      <c r="M22" s="15">
        <f t="shared" si="10"/>
        <v>804</v>
      </c>
      <c r="N22" s="39">
        <f>-(Elec!E18)</f>
        <v>711</v>
      </c>
      <c r="O22" s="15">
        <f t="shared" si="11"/>
        <v>711</v>
      </c>
      <c r="P22" s="15">
        <f t="shared" si="25"/>
        <v>93</v>
      </c>
      <c r="Q22" s="15">
        <f t="shared" si="12"/>
        <v>1021.62</v>
      </c>
      <c r="R22" s="58">
        <f t="shared" si="13"/>
        <v>2685.3599999999997</v>
      </c>
      <c r="S22" s="19">
        <f t="shared" si="20"/>
        <v>2.7440519999999999</v>
      </c>
      <c r="T22" s="19">
        <f t="shared" si="14"/>
        <v>3.48678906</v>
      </c>
      <c r="U22" s="19">
        <f t="shared" si="15"/>
        <v>9.1651336799999985</v>
      </c>
      <c r="V22" s="15">
        <f>HDD!B22</f>
        <v>57</v>
      </c>
      <c r="W22" s="15">
        <f>CDD!B22</f>
        <v>115</v>
      </c>
      <c r="Y22" s="43">
        <f t="shared" si="21"/>
        <v>1067.6976267213595</v>
      </c>
      <c r="Z22" s="44">
        <f t="shared" si="22"/>
        <v>1297.7114151772635</v>
      </c>
      <c r="AA22" s="19">
        <f t="shared" si="16"/>
        <v>2961.4514151772632</v>
      </c>
      <c r="AB22" s="44">
        <f t="shared" si="23"/>
        <v>3.6440519999999998</v>
      </c>
      <c r="AC22" s="45">
        <f t="shared" si="24"/>
        <v>4.4290890599999999</v>
      </c>
      <c r="AD22" s="19">
        <f t="shared" si="17"/>
        <v>10.107433679999998</v>
      </c>
    </row>
    <row r="23" spans="2:30">
      <c r="B23" s="1">
        <v>40827</v>
      </c>
      <c r="C23" s="57">
        <f>Gas!B19</f>
        <v>12</v>
      </c>
      <c r="D23" s="18">
        <f t="shared" si="8"/>
        <v>1.2000000000000002</v>
      </c>
      <c r="E23" s="19">
        <f t="shared" si="9"/>
        <v>1.2564000000000002</v>
      </c>
      <c r="G23" s="19">
        <f t="shared" si="18"/>
        <v>351.59683562847943</v>
      </c>
      <c r="H23" s="19">
        <f t="shared" si="19"/>
        <v>368.12188690301798</v>
      </c>
      <c r="I23" s="19"/>
      <c r="J23" s="1">
        <v>40817</v>
      </c>
      <c r="K23" s="39">
        <f>Elec!B19</f>
        <v>65</v>
      </c>
      <c r="L23" s="39">
        <f>Elec!C19</f>
        <v>0</v>
      </c>
      <c r="M23" s="15">
        <f t="shared" si="10"/>
        <v>710</v>
      </c>
      <c r="N23" s="39">
        <f>-(Elec!E19)</f>
        <v>645</v>
      </c>
      <c r="O23" s="15">
        <f t="shared" si="11"/>
        <v>645</v>
      </c>
      <c r="P23" s="15">
        <f t="shared" si="25"/>
        <v>65</v>
      </c>
      <c r="Q23" s="15">
        <f t="shared" si="12"/>
        <v>862.1</v>
      </c>
      <c r="R23" s="58">
        <f t="shared" si="13"/>
        <v>2371.4</v>
      </c>
      <c r="S23" s="19">
        <f t="shared" si="20"/>
        <v>2.4232299999999998</v>
      </c>
      <c r="T23" s="19">
        <f t="shared" si="14"/>
        <v>2.9423472999999998</v>
      </c>
      <c r="U23" s="19">
        <f t="shared" si="15"/>
        <v>8.0935881999999992</v>
      </c>
      <c r="V23" s="15">
        <f>HDD!B23</f>
        <v>267</v>
      </c>
      <c r="W23" s="15">
        <f>CDD!B23</f>
        <v>29</v>
      </c>
      <c r="Y23" s="43">
        <f t="shared" si="21"/>
        <v>1061.5968356284793</v>
      </c>
      <c r="Z23" s="44">
        <f t="shared" si="22"/>
        <v>1230.221886903018</v>
      </c>
      <c r="AA23" s="19">
        <f t="shared" si="16"/>
        <v>2739.5218869030182</v>
      </c>
      <c r="AB23" s="44">
        <f t="shared" si="23"/>
        <v>3.62323</v>
      </c>
      <c r="AC23" s="45">
        <f t="shared" si="24"/>
        <v>4.1987473</v>
      </c>
      <c r="AD23" s="19">
        <f t="shared" si="17"/>
        <v>9.3499881999999985</v>
      </c>
    </row>
    <row r="24" spans="2:30">
      <c r="B24" s="1">
        <v>40858</v>
      </c>
      <c r="C24" s="57">
        <f>Gas!B20</f>
        <v>24</v>
      </c>
      <c r="D24" s="18">
        <f t="shared" si="8"/>
        <v>2.4000000000000004</v>
      </c>
      <c r="E24" s="19">
        <f t="shared" si="9"/>
        <v>2.5128000000000004</v>
      </c>
      <c r="G24" s="19">
        <f t="shared" si="18"/>
        <v>703.19367125695885</v>
      </c>
      <c r="H24" s="19">
        <f t="shared" si="19"/>
        <v>736.24377380603596</v>
      </c>
      <c r="I24" s="19"/>
      <c r="J24" s="1">
        <v>40848</v>
      </c>
      <c r="K24" s="39">
        <f>Elec!B20</f>
        <v>178</v>
      </c>
      <c r="L24" s="39">
        <f>Elec!C20</f>
        <v>0</v>
      </c>
      <c r="M24" s="15">
        <f t="shared" si="10"/>
        <v>731</v>
      </c>
      <c r="N24" s="39">
        <f>-(Elec!E20)</f>
        <v>553</v>
      </c>
      <c r="O24" s="15">
        <f t="shared" si="11"/>
        <v>553</v>
      </c>
      <c r="P24" s="15">
        <f t="shared" si="25"/>
        <v>178</v>
      </c>
      <c r="Q24" s="15">
        <f t="shared" si="12"/>
        <v>1147.52</v>
      </c>
      <c r="R24" s="58">
        <f t="shared" si="13"/>
        <v>2441.54</v>
      </c>
      <c r="S24" s="19">
        <f t="shared" si="20"/>
        <v>2.4949029999999999</v>
      </c>
      <c r="T24" s="19">
        <f t="shared" si="14"/>
        <v>3.9164857599999996</v>
      </c>
      <c r="U24" s="19">
        <f t="shared" si="15"/>
        <v>8.3329760200000003</v>
      </c>
      <c r="V24" s="15">
        <f>HDD!B24</f>
        <v>449</v>
      </c>
      <c r="W24" s="15">
        <f>CDD!B24</f>
        <v>1</v>
      </c>
      <c r="Y24" s="43">
        <f t="shared" si="21"/>
        <v>1434.1936712569589</v>
      </c>
      <c r="Z24" s="44">
        <f t="shared" si="22"/>
        <v>1883.7637738060359</v>
      </c>
      <c r="AA24" s="19">
        <f t="shared" si="16"/>
        <v>3177.7837738060362</v>
      </c>
      <c r="AB24" s="44">
        <f t="shared" si="23"/>
        <v>4.8949030000000002</v>
      </c>
      <c r="AC24" s="45">
        <f t="shared" si="24"/>
        <v>6.42928576</v>
      </c>
      <c r="AD24" s="19">
        <f t="shared" si="17"/>
        <v>10.845776020000001</v>
      </c>
    </row>
    <row r="25" spans="2:30">
      <c r="B25" s="1">
        <v>40888</v>
      </c>
      <c r="C25" s="57">
        <f>Gas!B21</f>
        <v>34</v>
      </c>
      <c r="D25" s="18">
        <f t="shared" si="8"/>
        <v>3.4000000000000004</v>
      </c>
      <c r="E25" s="19">
        <f t="shared" si="9"/>
        <v>3.5598000000000001</v>
      </c>
      <c r="G25" s="19">
        <f t="shared" si="18"/>
        <v>996.19103428069172</v>
      </c>
      <c r="H25" s="19">
        <f t="shared" si="19"/>
        <v>1043.0120128918841</v>
      </c>
      <c r="I25" s="19"/>
      <c r="J25" s="1">
        <v>40878</v>
      </c>
      <c r="K25" s="39">
        <f>Elec!B21</f>
        <v>491</v>
      </c>
      <c r="L25" s="39">
        <f>Elec!C21</f>
        <v>0</v>
      </c>
      <c r="M25" s="15">
        <f t="shared" si="10"/>
        <v>899</v>
      </c>
      <c r="N25" s="39">
        <f>-(Elec!E21)</f>
        <v>408</v>
      </c>
      <c r="O25" s="15">
        <f t="shared" si="11"/>
        <v>408</v>
      </c>
      <c r="P25" s="15">
        <f t="shared" si="25"/>
        <v>491</v>
      </c>
      <c r="Q25" s="15">
        <f t="shared" si="12"/>
        <v>2047.9399999999998</v>
      </c>
      <c r="R25" s="58">
        <f t="shared" si="13"/>
        <v>3002.66</v>
      </c>
      <c r="S25" s="19">
        <f t="shared" si="20"/>
        <v>3.0682869999999998</v>
      </c>
      <c r="T25" s="19">
        <f t="shared" si="14"/>
        <v>6.9896192199999989</v>
      </c>
      <c r="U25" s="19">
        <f t="shared" si="15"/>
        <v>10.24807858</v>
      </c>
      <c r="V25" s="15">
        <f>HDD!B25</f>
        <v>764</v>
      </c>
      <c r="W25" s="15">
        <f>CDD!B25</f>
        <v>0</v>
      </c>
      <c r="Y25" s="43">
        <f t="shared" si="21"/>
        <v>1895.1910342806918</v>
      </c>
      <c r="Z25" s="44">
        <f t="shared" si="22"/>
        <v>3090.9520128918839</v>
      </c>
      <c r="AA25" s="19">
        <f t="shared" si="16"/>
        <v>4045.6720128918842</v>
      </c>
      <c r="AB25" s="44">
        <f t="shared" si="23"/>
        <v>6.4682870000000001</v>
      </c>
      <c r="AC25" s="45">
        <f t="shared" si="24"/>
        <v>10.549419219999999</v>
      </c>
      <c r="AD25" s="19">
        <f t="shared" si="17"/>
        <v>13.807878580000001</v>
      </c>
    </row>
    <row r="26" spans="2:30">
      <c r="B26" s="1">
        <v>40920</v>
      </c>
      <c r="C26" s="57">
        <f>Gas!B22</f>
        <v>47</v>
      </c>
      <c r="D26" s="18">
        <f t="shared" si="8"/>
        <v>4.7</v>
      </c>
      <c r="E26" s="19">
        <f t="shared" si="9"/>
        <v>4.9208999999999996</v>
      </c>
      <c r="G26" s="19">
        <f t="shared" si="18"/>
        <v>1377.0876062115442</v>
      </c>
      <c r="H26" s="19">
        <f t="shared" si="19"/>
        <v>1441.8107237034867</v>
      </c>
      <c r="I26" s="19"/>
      <c r="J26" s="1">
        <v>40909</v>
      </c>
      <c r="K26" s="39">
        <f>Elec!B22</f>
        <v>340</v>
      </c>
      <c r="L26" s="39">
        <f>Elec!C22</f>
        <v>0</v>
      </c>
      <c r="M26" s="15">
        <f t="shared" si="10"/>
        <v>854</v>
      </c>
      <c r="N26" s="39">
        <f>-(Elec!E22)</f>
        <v>514</v>
      </c>
      <c r="O26" s="15">
        <f t="shared" si="11"/>
        <v>514</v>
      </c>
      <c r="P26" s="15">
        <f t="shared" si="25"/>
        <v>340</v>
      </c>
      <c r="Q26" s="15">
        <f t="shared" si="12"/>
        <v>1649.6</v>
      </c>
      <c r="R26" s="58">
        <f t="shared" si="13"/>
        <v>2852.3599999999997</v>
      </c>
      <c r="S26" s="19">
        <f t="shared" si="20"/>
        <v>2.9147019999999997</v>
      </c>
      <c r="T26" s="19">
        <f t="shared" si="14"/>
        <v>5.6300847999999997</v>
      </c>
      <c r="U26" s="19">
        <f t="shared" si="15"/>
        <v>9.7351046799999992</v>
      </c>
      <c r="V26" s="15">
        <f>HDD!B26</f>
        <v>959</v>
      </c>
      <c r="W26" s="15">
        <f>CDD!B26</f>
        <v>0</v>
      </c>
      <c r="Y26" s="43">
        <f t="shared" si="21"/>
        <v>2231.087606211544</v>
      </c>
      <c r="Z26" s="44">
        <f t="shared" si="22"/>
        <v>3091.4107237034868</v>
      </c>
      <c r="AA26" s="19">
        <f t="shared" si="16"/>
        <v>4294.1707237034861</v>
      </c>
      <c r="AB26" s="44">
        <f t="shared" si="23"/>
        <v>7.6147019999999994</v>
      </c>
      <c r="AC26" s="45">
        <f t="shared" si="24"/>
        <v>10.550984799999998</v>
      </c>
      <c r="AD26" s="19">
        <f t="shared" si="17"/>
        <v>14.656004679999999</v>
      </c>
    </row>
    <row r="27" spans="2:30">
      <c r="B27" s="1">
        <v>40940</v>
      </c>
      <c r="C27" s="57">
        <f>Gas!B23</f>
        <v>41</v>
      </c>
      <c r="D27" s="18">
        <f t="shared" si="8"/>
        <v>4.1000000000000005</v>
      </c>
      <c r="E27" s="19">
        <f t="shared" si="9"/>
        <v>4.2927</v>
      </c>
      <c r="G27" s="19">
        <f t="shared" si="18"/>
        <v>1201.2891883973048</v>
      </c>
      <c r="H27" s="19">
        <f t="shared" si="19"/>
        <v>1257.7497802519779</v>
      </c>
      <c r="I27" s="19"/>
      <c r="J27" s="1">
        <v>40940</v>
      </c>
      <c r="K27" s="39">
        <f>Elec!B23</f>
        <v>1</v>
      </c>
      <c r="L27" s="39">
        <f>Elec!C23</f>
        <v>0</v>
      </c>
      <c r="M27" s="15">
        <f t="shared" si="10"/>
        <v>652</v>
      </c>
      <c r="N27" s="39">
        <f>-(Elec!E23)</f>
        <v>651</v>
      </c>
      <c r="O27" s="15">
        <f t="shared" si="11"/>
        <v>651</v>
      </c>
      <c r="P27" s="15">
        <f t="shared" si="25"/>
        <v>1</v>
      </c>
      <c r="Q27" s="15">
        <f t="shared" si="12"/>
        <v>654.34</v>
      </c>
      <c r="R27" s="58">
        <f t="shared" si="13"/>
        <v>2177.6799999999998</v>
      </c>
      <c r="S27" s="19">
        <f t="shared" si="20"/>
        <v>2.225276</v>
      </c>
      <c r="T27" s="19">
        <f t="shared" si="14"/>
        <v>2.23326242</v>
      </c>
      <c r="U27" s="19">
        <f t="shared" si="15"/>
        <v>7.4324218399999991</v>
      </c>
      <c r="V27" s="15">
        <f>HDD!B27</f>
        <v>801</v>
      </c>
      <c r="W27" s="15">
        <f>CDD!B27</f>
        <v>0</v>
      </c>
      <c r="Y27" s="43">
        <f t="shared" si="21"/>
        <v>1853.2891883973048</v>
      </c>
      <c r="Z27" s="44">
        <f t="shared" si="22"/>
        <v>1912.089780251978</v>
      </c>
      <c r="AA27" s="19">
        <f t="shared" si="16"/>
        <v>3435.4297802519777</v>
      </c>
      <c r="AB27" s="44">
        <f t="shared" si="23"/>
        <v>6.3252760000000006</v>
      </c>
      <c r="AC27" s="45">
        <f t="shared" si="24"/>
        <v>6.5259624199999999</v>
      </c>
      <c r="AD27" s="19">
        <f t="shared" si="17"/>
        <v>11.72512184</v>
      </c>
    </row>
    <row r="28" spans="2:30">
      <c r="B28" s="1">
        <v>40969</v>
      </c>
      <c r="C28" s="57">
        <f>Gas!B24</f>
        <v>39</v>
      </c>
      <c r="D28" s="18">
        <f t="shared" si="8"/>
        <v>3.9000000000000004</v>
      </c>
      <c r="E28" s="19">
        <f t="shared" si="9"/>
        <v>4.0833000000000004</v>
      </c>
      <c r="G28" s="19">
        <f t="shared" si="18"/>
        <v>1142.689715792558</v>
      </c>
      <c r="H28" s="19">
        <f t="shared" si="19"/>
        <v>1196.3961324348084</v>
      </c>
      <c r="I28" s="19"/>
      <c r="J28" s="1">
        <v>40969</v>
      </c>
      <c r="K28" s="39">
        <f>Elec!B24</f>
        <v>0</v>
      </c>
      <c r="L28" s="39">
        <f>Elec!C24</f>
        <v>-68</v>
      </c>
      <c r="M28" s="15">
        <f t="shared" si="10"/>
        <v>651</v>
      </c>
      <c r="N28" s="39">
        <f>-(Elec!E24)</f>
        <v>719</v>
      </c>
      <c r="O28" s="15">
        <f t="shared" si="11"/>
        <v>651</v>
      </c>
      <c r="P28" s="15">
        <f t="shared" si="25"/>
        <v>-68</v>
      </c>
      <c r="Q28" s="15">
        <f t="shared" si="12"/>
        <v>423.88</v>
      </c>
      <c r="R28" s="58">
        <f t="shared" si="13"/>
        <v>2174.3399999999997</v>
      </c>
      <c r="S28" s="19">
        <f t="shared" si="20"/>
        <v>2.2218629999999999</v>
      </c>
      <c r="T28" s="19">
        <f t="shared" si="14"/>
        <v>1.4467024399999999</v>
      </c>
      <c r="U28" s="19">
        <f t="shared" si="15"/>
        <v>7.4210224199999981</v>
      </c>
      <c r="V28" s="15">
        <f>HDD!B28</f>
        <v>608</v>
      </c>
      <c r="W28" s="15">
        <f>CDD!B28</f>
        <v>18</v>
      </c>
      <c r="Y28" s="43">
        <f t="shared" si="21"/>
        <v>1793.689715792558</v>
      </c>
      <c r="Z28" s="44">
        <f t="shared" si="22"/>
        <v>1620.2761324348085</v>
      </c>
      <c r="AA28" s="19">
        <f t="shared" si="16"/>
        <v>3370.736132434808</v>
      </c>
      <c r="AB28" s="44">
        <f t="shared" si="23"/>
        <v>6.1218630000000003</v>
      </c>
      <c r="AC28" s="45">
        <f t="shared" si="24"/>
        <v>5.5300024400000005</v>
      </c>
      <c r="AD28" s="19">
        <f t="shared" si="17"/>
        <v>11.504322419999998</v>
      </c>
    </row>
    <row r="29" spans="2:30">
      <c r="B29" s="1">
        <v>41000</v>
      </c>
      <c r="C29" s="57">
        <f>Gas!B25</f>
        <v>19</v>
      </c>
      <c r="D29" s="18">
        <f t="shared" si="8"/>
        <v>1.9000000000000001</v>
      </c>
      <c r="E29" s="19">
        <f t="shared" si="9"/>
        <v>1.9893000000000001</v>
      </c>
      <c r="G29" s="19">
        <f t="shared" si="18"/>
        <v>556.69498974509236</v>
      </c>
      <c r="H29" s="19">
        <f t="shared" si="19"/>
        <v>582.85965426311168</v>
      </c>
      <c r="I29" s="19"/>
      <c r="J29" s="1">
        <v>41000</v>
      </c>
      <c r="K29" s="39">
        <f>Elec!B25</f>
        <v>0</v>
      </c>
      <c r="L29" s="39">
        <f>Elec!C25</f>
        <v>-239</v>
      </c>
      <c r="M29" s="15">
        <f t="shared" si="10"/>
        <v>655</v>
      </c>
      <c r="N29" s="39">
        <f>-(Elec!E25)</f>
        <v>894</v>
      </c>
      <c r="O29" s="15">
        <f t="shared" si="11"/>
        <v>655</v>
      </c>
      <c r="P29" s="15">
        <f t="shared" si="25"/>
        <v>-239</v>
      </c>
      <c r="Q29" s="15">
        <f t="shared" si="12"/>
        <v>-143.26</v>
      </c>
      <c r="R29" s="58">
        <f t="shared" si="13"/>
        <v>2187.6999999999998</v>
      </c>
      <c r="S29" s="19">
        <f t="shared" si="20"/>
        <v>2.2355149999999999</v>
      </c>
      <c r="T29" s="19">
        <f t="shared" si="14"/>
        <v>-0.48894637999999996</v>
      </c>
      <c r="U29" s="19">
        <f t="shared" si="15"/>
        <v>7.4666200999999992</v>
      </c>
      <c r="V29" s="15">
        <f>HDD!B29</f>
        <v>398</v>
      </c>
      <c r="W29" s="15">
        <f>CDD!B29</f>
        <v>25</v>
      </c>
      <c r="Y29" s="43">
        <f t="shared" si="21"/>
        <v>1211.6949897450922</v>
      </c>
      <c r="Z29" s="44">
        <f t="shared" si="22"/>
        <v>439.59965426311169</v>
      </c>
      <c r="AA29" s="19">
        <f t="shared" si="16"/>
        <v>2770.5596542631115</v>
      </c>
      <c r="AB29" s="44">
        <f t="shared" si="23"/>
        <v>4.1355149999999998</v>
      </c>
      <c r="AC29" s="45">
        <f t="shared" si="24"/>
        <v>1.5003536200000001</v>
      </c>
      <c r="AD29" s="19">
        <f t="shared" si="17"/>
        <v>9.4559201000000002</v>
      </c>
    </row>
    <row r="30" spans="2:30">
      <c r="B30" s="1">
        <v>41030</v>
      </c>
      <c r="C30" s="57">
        <f>Gas!B26</f>
        <v>15</v>
      </c>
      <c r="D30" s="18">
        <f t="shared" si="8"/>
        <v>1.5</v>
      </c>
      <c r="E30" s="19">
        <f t="shared" si="9"/>
        <v>1.5705</v>
      </c>
      <c r="G30" s="19">
        <f t="shared" si="18"/>
        <v>439.49604453559925</v>
      </c>
      <c r="H30" s="19">
        <f t="shared" si="19"/>
        <v>460.15235862877239</v>
      </c>
      <c r="I30" s="19"/>
      <c r="J30" s="1">
        <v>41030</v>
      </c>
      <c r="K30" s="39">
        <f>Elec!B26</f>
        <v>0</v>
      </c>
      <c r="L30" s="39">
        <f>Elec!C26</f>
        <v>0</v>
      </c>
      <c r="M30" s="15">
        <f t="shared" si="10"/>
        <v>696</v>
      </c>
      <c r="N30" s="39">
        <f>-(Elec!E26)</f>
        <v>696</v>
      </c>
      <c r="O30" s="15">
        <f t="shared" si="11"/>
        <v>696</v>
      </c>
      <c r="P30" s="15">
        <f t="shared" si="25"/>
        <v>0</v>
      </c>
      <c r="Q30" s="15">
        <f t="shared" si="12"/>
        <v>696</v>
      </c>
      <c r="R30" s="58">
        <f t="shared" si="13"/>
        <v>2324.64</v>
      </c>
      <c r="S30" s="19">
        <f t="shared" si="20"/>
        <v>2.375448</v>
      </c>
      <c r="T30" s="19">
        <f t="shared" si="14"/>
        <v>2.375448</v>
      </c>
      <c r="U30" s="19">
        <f t="shared" si="15"/>
        <v>7.9339963199999994</v>
      </c>
      <c r="V30" s="15">
        <f>HDD!B30</f>
        <v>204</v>
      </c>
      <c r="W30" s="15">
        <f>CDD!B30</f>
        <v>42</v>
      </c>
      <c r="Y30" s="43">
        <f t="shared" si="21"/>
        <v>1135.4960445355991</v>
      </c>
      <c r="Z30" s="44">
        <f t="shared" si="22"/>
        <v>1156.1523586287724</v>
      </c>
      <c r="AA30" s="19">
        <f t="shared" si="16"/>
        <v>2784.7923586287725</v>
      </c>
      <c r="AB30" s="44">
        <f t="shared" si="23"/>
        <v>3.875448</v>
      </c>
      <c r="AC30" s="45">
        <f t="shared" si="24"/>
        <v>3.945948</v>
      </c>
      <c r="AD30" s="19">
        <f t="shared" si="17"/>
        <v>9.5044963199999994</v>
      </c>
    </row>
    <row r="31" spans="2:30">
      <c r="B31" s="1">
        <v>41061</v>
      </c>
      <c r="C31" s="57">
        <f>Gas!B27</f>
        <v>8</v>
      </c>
      <c r="D31" s="18">
        <f t="shared" si="8"/>
        <v>0.8</v>
      </c>
      <c r="E31" s="19">
        <f t="shared" si="9"/>
        <v>0.83760000000000001</v>
      </c>
      <c r="G31" s="19">
        <f t="shared" si="18"/>
        <v>234.39789041898626</v>
      </c>
      <c r="H31" s="19">
        <f t="shared" si="19"/>
        <v>245.41459126867861</v>
      </c>
      <c r="I31" s="19"/>
      <c r="J31" s="1">
        <v>41061</v>
      </c>
      <c r="K31" s="39">
        <f>Elec!B27</f>
        <v>101</v>
      </c>
      <c r="L31" s="39">
        <f>Elec!C27</f>
        <v>0</v>
      </c>
      <c r="M31" s="15">
        <f t="shared" si="10"/>
        <v>883</v>
      </c>
      <c r="N31" s="39">
        <f>-(Elec!E27)</f>
        <v>782</v>
      </c>
      <c r="O31" s="15">
        <f t="shared" si="11"/>
        <v>782</v>
      </c>
      <c r="P31" s="15">
        <f t="shared" si="25"/>
        <v>101</v>
      </c>
      <c r="Q31" s="15">
        <f t="shared" si="12"/>
        <v>1119.3399999999999</v>
      </c>
      <c r="R31" s="58">
        <f t="shared" si="13"/>
        <v>2949.22</v>
      </c>
      <c r="S31" s="19">
        <f t="shared" si="20"/>
        <v>3.0136789999999998</v>
      </c>
      <c r="T31" s="19">
        <f t="shared" si="14"/>
        <v>3.8203074199999993</v>
      </c>
      <c r="U31" s="19">
        <f t="shared" si="15"/>
        <v>10.065687859999999</v>
      </c>
      <c r="V31" s="15">
        <f>HDD!B31</f>
        <v>94</v>
      </c>
      <c r="W31" s="15">
        <f>CDD!B31</f>
        <v>142</v>
      </c>
      <c r="Y31" s="43">
        <f t="shared" si="21"/>
        <v>1117.3978904189862</v>
      </c>
      <c r="Z31" s="44">
        <f t="shared" si="22"/>
        <v>1364.7545912686785</v>
      </c>
      <c r="AA31" s="19">
        <f t="shared" si="16"/>
        <v>3194.6345912686784</v>
      </c>
      <c r="AB31" s="44">
        <f t="shared" si="23"/>
        <v>3.8136789999999996</v>
      </c>
      <c r="AC31" s="45">
        <f t="shared" si="24"/>
        <v>4.657907419999999</v>
      </c>
      <c r="AD31" s="19">
        <f t="shared" si="17"/>
        <v>10.903287859999999</v>
      </c>
    </row>
    <row r="32" spans="2:30">
      <c r="B32" s="1">
        <v>41101</v>
      </c>
      <c r="C32" s="57">
        <f>Gas!B28</f>
        <v>6</v>
      </c>
      <c r="D32" s="18">
        <f t="shared" si="8"/>
        <v>0.60000000000000009</v>
      </c>
      <c r="E32" s="19">
        <f t="shared" si="9"/>
        <v>0.62820000000000009</v>
      </c>
      <c r="G32" s="19">
        <f t="shared" si="18"/>
        <v>175.79841781423971</v>
      </c>
      <c r="H32" s="19">
        <f t="shared" si="19"/>
        <v>184.06094345150899</v>
      </c>
      <c r="I32" s="19"/>
      <c r="J32" s="1">
        <v>41091</v>
      </c>
      <c r="K32" s="39">
        <f>Elec!B28</f>
        <v>556</v>
      </c>
      <c r="L32" s="39">
        <f>Elec!C28</f>
        <v>0</v>
      </c>
      <c r="M32" s="15">
        <f t="shared" si="10"/>
        <v>1406</v>
      </c>
      <c r="N32" s="39">
        <f>-(Elec!E28)</f>
        <v>850</v>
      </c>
      <c r="O32" s="15">
        <f t="shared" si="11"/>
        <v>850</v>
      </c>
      <c r="P32" s="15">
        <f t="shared" si="25"/>
        <v>556</v>
      </c>
      <c r="Q32" s="15">
        <f t="shared" si="12"/>
        <v>2707.04</v>
      </c>
      <c r="R32" s="59">
        <f t="shared" si="13"/>
        <v>4696.04</v>
      </c>
      <c r="S32" s="19">
        <f t="shared" si="20"/>
        <v>4.7986779999999998</v>
      </c>
      <c r="T32" s="19">
        <f t="shared" si="14"/>
        <v>9.2391275199999985</v>
      </c>
      <c r="U32" s="19">
        <f t="shared" si="15"/>
        <v>16.027584519999998</v>
      </c>
      <c r="V32" s="15">
        <f>HDD!B32</f>
        <v>2</v>
      </c>
      <c r="W32" s="15">
        <f>CDD!B32</f>
        <v>304</v>
      </c>
      <c r="Y32" s="46">
        <f t="shared" si="21"/>
        <v>1581.7984178142397</v>
      </c>
      <c r="Z32" s="47">
        <f t="shared" si="22"/>
        <v>2891.100943451509</v>
      </c>
      <c r="AA32" s="19">
        <f t="shared" si="16"/>
        <v>4880.100943451509</v>
      </c>
      <c r="AB32" s="47">
        <f t="shared" si="23"/>
        <v>5.3986780000000003</v>
      </c>
      <c r="AC32" s="48">
        <f t="shared" si="24"/>
        <v>9.8673275199999981</v>
      </c>
      <c r="AD32" s="19">
        <f t="shared" si="17"/>
        <v>16.655784519999997</v>
      </c>
    </row>
    <row r="33" spans="1:30">
      <c r="B33" s="1">
        <v>41132</v>
      </c>
      <c r="C33" s="57">
        <f>Gas!B29</f>
        <v>6</v>
      </c>
      <c r="D33" s="18">
        <f t="shared" si="8"/>
        <v>0.60000000000000009</v>
      </c>
      <c r="E33" s="19">
        <f t="shared" si="9"/>
        <v>0.62820000000000009</v>
      </c>
      <c r="P33" s="15">
        <f>SUM(P21:P32)</f>
        <v>1671</v>
      </c>
    </row>
    <row r="34" spans="1:30">
      <c r="B34" s="15"/>
      <c r="C34" s="3"/>
      <c r="D34" s="3"/>
      <c r="E34" s="19">
        <f t="shared" si="9"/>
        <v>0</v>
      </c>
      <c r="H34" s="15" t="s">
        <v>31</v>
      </c>
      <c r="P34" s="15">
        <f>SUM(P27:P32)</f>
        <v>351</v>
      </c>
      <c r="Y34" s="19"/>
      <c r="Z34" s="19"/>
    </row>
    <row r="35" spans="1:30" s="15" customFormat="1">
      <c r="C35" s="39" t="s">
        <v>108</v>
      </c>
      <c r="D35" s="78">
        <f>SUM(D27:D32)</f>
        <v>12.8</v>
      </c>
      <c r="E35" s="78">
        <f>SUM(E27:E32)</f>
        <v>13.4016</v>
      </c>
      <c r="N35" s="15" t="s">
        <v>108</v>
      </c>
      <c r="O35" s="15">
        <f>SUM(O27:O32)</f>
        <v>4285</v>
      </c>
      <c r="Q35" s="19"/>
      <c r="R35" s="15" t="s">
        <v>108</v>
      </c>
      <c r="S35" s="19">
        <f>SUM(S27:S32)</f>
        <v>16.870459</v>
      </c>
      <c r="T35" s="19">
        <f>SUM(T27:T32)</f>
        <v>18.625901419999998</v>
      </c>
      <c r="U35" s="19">
        <f>SUM(U27:U32)</f>
        <v>56.34733305999999</v>
      </c>
      <c r="Y35" s="19"/>
      <c r="Z35" s="19"/>
    </row>
    <row r="36" spans="1:30" s="15" customFormat="1">
      <c r="C36" s="39" t="s">
        <v>111</v>
      </c>
      <c r="D36" s="78">
        <f>SUM(D21:D32)</f>
        <v>26.200000000000006</v>
      </c>
      <c r="E36" s="78">
        <f>SUM(E21:E32)</f>
        <v>27.4314</v>
      </c>
      <c r="Q36" s="19"/>
      <c r="R36" s="15" t="s">
        <v>111</v>
      </c>
      <c r="S36" s="19">
        <f>SUM(S21:S32)</f>
        <v>33.768222000000002</v>
      </c>
      <c r="T36" s="19"/>
      <c r="U36" s="19">
        <f>SUM(U21:U32)</f>
        <v>112.78586147999999</v>
      </c>
      <c r="Y36" s="19"/>
      <c r="Z36" s="19"/>
    </row>
    <row r="37" spans="1:30" s="15" customFormat="1">
      <c r="A37" s="15" t="s">
        <v>106</v>
      </c>
      <c r="C37" s="39"/>
      <c r="D37" s="39"/>
      <c r="E37" s="19"/>
      <c r="O37" s="19">
        <f>O35*$E$4</f>
        <v>14.624704999999999</v>
      </c>
      <c r="Y37" s="19"/>
      <c r="Z37" s="19"/>
    </row>
    <row r="38" spans="1:30" s="15" customFormat="1">
      <c r="C38" s="78">
        <f>MIN(C27:C32)</f>
        <v>6</v>
      </c>
      <c r="D38" s="62">
        <f t="shared" ref="D38" si="26">C38*E$2</f>
        <v>0.60000000000000009</v>
      </c>
      <c r="E38" s="63">
        <f t="shared" ref="E38" si="27">D38*E$6</f>
        <v>0.62820000000000009</v>
      </c>
      <c r="M38" s="15">
        <f>MIN(M27:M32)</f>
        <v>651</v>
      </c>
      <c r="S38" s="63">
        <f t="shared" ref="S38:S40" si="28">M38*E$4</f>
        <v>2.2218629999999999</v>
      </c>
      <c r="T38" s="19">
        <f>S38*$E$5</f>
        <v>7.421022419999999</v>
      </c>
      <c r="U38" s="19"/>
      <c r="Y38" s="19"/>
      <c r="Z38" s="19"/>
      <c r="AB38" s="63">
        <f t="shared" ref="AB38:AB40" si="29">D38+S38</f>
        <v>2.821863</v>
      </c>
      <c r="AD38" s="64">
        <f>E38+T38</f>
        <v>8.0492224199999995</v>
      </c>
    </row>
    <row r="39" spans="1:30" s="15" customFormat="1">
      <c r="A39" s="15" t="s">
        <v>105</v>
      </c>
      <c r="C39" s="39"/>
      <c r="D39" s="39"/>
      <c r="E39" s="19"/>
      <c r="Y39" s="19"/>
      <c r="Z39" s="19"/>
    </row>
    <row r="40" spans="1:30" s="15" customFormat="1">
      <c r="A40" s="60"/>
      <c r="B40" s="61"/>
      <c r="C40" s="62">
        <f>SUM(C41:C42)/2</f>
        <v>7</v>
      </c>
      <c r="D40" s="62">
        <f t="shared" ref="D40" si="30">C40*E$2</f>
        <v>0.70000000000000007</v>
      </c>
      <c r="E40" s="63">
        <f t="shared" ref="E40" si="31">D40*E$6</f>
        <v>0.7329</v>
      </c>
      <c r="F40" s="61"/>
      <c r="G40" s="63"/>
      <c r="H40" s="63"/>
      <c r="I40" s="61"/>
      <c r="J40" s="61"/>
      <c r="K40" s="61"/>
      <c r="L40" s="61"/>
      <c r="M40" s="61">
        <f>SUM(M41:M42)/2</f>
        <v>651.5</v>
      </c>
      <c r="N40" s="61"/>
      <c r="O40" s="61"/>
      <c r="P40" s="61"/>
      <c r="Q40" s="61"/>
      <c r="R40" s="61"/>
      <c r="S40" s="63">
        <f t="shared" si="28"/>
        <v>2.2235695</v>
      </c>
      <c r="T40" s="19">
        <f>S40*$E$5</f>
        <v>7.4267221299999999</v>
      </c>
      <c r="U40" s="19"/>
      <c r="V40" s="61"/>
      <c r="W40" s="61"/>
      <c r="X40" s="61"/>
      <c r="Y40" s="63"/>
      <c r="Z40" s="63"/>
      <c r="AA40" s="63"/>
      <c r="AB40" s="63">
        <f t="shared" si="29"/>
        <v>2.9235695000000002</v>
      </c>
      <c r="AC40" s="63"/>
      <c r="AD40" s="64">
        <f>E40+T40</f>
        <v>8.1596221300000007</v>
      </c>
    </row>
    <row r="41" spans="1:30">
      <c r="C41" s="19">
        <f>MIN(C21:C32)</f>
        <v>6</v>
      </c>
      <c r="M41" s="15">
        <f>MIN(M21:M32)</f>
        <v>651</v>
      </c>
    </row>
    <row r="42" spans="1:30">
      <c r="C42" s="19">
        <f>MIN(C21:C31)</f>
        <v>8</v>
      </c>
      <c r="M42">
        <f>MIN(M21:M27,M29:M32)</f>
        <v>652</v>
      </c>
      <c r="S42" s="19">
        <f>SUM(S21:S32)</f>
        <v>33.768222000000002</v>
      </c>
      <c r="V42" s="31" t="s">
        <v>70</v>
      </c>
      <c r="W42" s="23"/>
      <c r="X42" s="23"/>
      <c r="Y42" s="23" t="s">
        <v>16</v>
      </c>
      <c r="Z42" s="23" t="s">
        <v>19</v>
      </c>
      <c r="AA42" s="23" t="s">
        <v>82</v>
      </c>
      <c r="AB42" s="23" t="s">
        <v>17</v>
      </c>
      <c r="AC42" s="23" t="s">
        <v>18</v>
      </c>
      <c r="AD42" s="24" t="s">
        <v>82</v>
      </c>
    </row>
    <row r="43" spans="1:30">
      <c r="D43" s="19"/>
      <c r="V43" s="32"/>
      <c r="W43" s="26"/>
      <c r="X43" s="26"/>
      <c r="Y43" s="26"/>
      <c r="Z43" s="26"/>
      <c r="AA43" s="26"/>
      <c r="AB43" s="26"/>
      <c r="AC43" s="26"/>
      <c r="AD43" s="27"/>
    </row>
    <row r="44" spans="1:30">
      <c r="C44" s="19">
        <f>SUM(C27:C32)</f>
        <v>128</v>
      </c>
      <c r="M44" s="19">
        <f>SUM(M27:M32)</f>
        <v>4943</v>
      </c>
      <c r="V44" s="32"/>
      <c r="W44" s="26" t="s">
        <v>67</v>
      </c>
      <c r="X44" s="26"/>
      <c r="Y44" s="44">
        <f>SUM(Y15:Y32)</f>
        <v>29001.100811299602</v>
      </c>
      <c r="Z44" s="44">
        <f>SUM(Z15:Z32)</f>
        <v>35313.787549430686</v>
      </c>
      <c r="AA44" s="26"/>
      <c r="AB44" s="44">
        <f>SUM(AB15:AB32)</f>
        <v>98.980757068965517</v>
      </c>
      <c r="AC44" s="44">
        <f>SUM(AC15:AC32)</f>
        <v>120.52595690620691</v>
      </c>
      <c r="AD44" s="27"/>
    </row>
    <row r="45" spans="1:30">
      <c r="C45" s="19">
        <f>SUM(C21:C32)</f>
        <v>262</v>
      </c>
      <c r="M45" s="19">
        <f>SUM(M21:M32)</f>
        <v>9894</v>
      </c>
      <c r="V45" s="32"/>
      <c r="W45" s="26"/>
      <c r="X45" s="26"/>
      <c r="Y45" s="26"/>
      <c r="Z45" s="26"/>
      <c r="AA45" s="26"/>
      <c r="AB45" s="26"/>
      <c r="AC45" s="26"/>
      <c r="AD45" s="27"/>
    </row>
    <row r="46" spans="1:30">
      <c r="V46" s="32"/>
      <c r="W46" s="26" t="s">
        <v>68</v>
      </c>
      <c r="X46" s="26"/>
      <c r="Y46" s="44">
        <f t="shared" ref="Y46:AD46" si="32">SUM(Y21:Y32)</f>
        <v>17570.530911221798</v>
      </c>
      <c r="Z46" s="44">
        <f t="shared" si="32"/>
        <v>21534.467864049228</v>
      </c>
      <c r="AA46" s="44">
        <f t="shared" si="32"/>
        <v>41083.287864049227</v>
      </c>
      <c r="AB46" s="44">
        <f t="shared" si="32"/>
        <v>59.968221999999997</v>
      </c>
      <c r="AC46" s="44">
        <f t="shared" si="32"/>
        <v>73.497138820000004</v>
      </c>
      <c r="AD46" s="45">
        <f t="shared" si="32"/>
        <v>140.21726147999999</v>
      </c>
    </row>
    <row r="47" spans="1:30">
      <c r="A47" s="15" t="s">
        <v>107</v>
      </c>
      <c r="E47" s="19">
        <f>SUM(E21:E32)</f>
        <v>27.4314</v>
      </c>
      <c r="R47" s="19">
        <f>SUM(R21:R32)*E4</f>
        <v>112.78586147999999</v>
      </c>
      <c r="V47" s="32"/>
      <c r="W47" s="26"/>
      <c r="X47" s="26"/>
      <c r="Y47" s="26"/>
      <c r="Z47" s="26"/>
      <c r="AA47" s="26"/>
      <c r="AB47" s="26"/>
      <c r="AC47" s="26"/>
      <c r="AD47" s="27"/>
    </row>
    <row r="48" spans="1:30">
      <c r="V48" s="32"/>
      <c r="W48" s="26" t="s">
        <v>69</v>
      </c>
      <c r="X48" s="26"/>
      <c r="Y48" s="44">
        <f t="shared" ref="Y48:AD48" si="33">SUM(Y27:Y32)</f>
        <v>8693.3662467037793</v>
      </c>
      <c r="Z48" s="44">
        <f t="shared" si="33"/>
        <v>9383.9734602988574</v>
      </c>
      <c r="AA48" s="44">
        <f t="shared" si="33"/>
        <v>20436.25346029886</v>
      </c>
      <c r="AB48" s="44">
        <f t="shared" si="33"/>
        <v>29.670458999999997</v>
      </c>
      <c r="AC48" s="44">
        <f t="shared" si="33"/>
        <v>32.027501419999993</v>
      </c>
      <c r="AD48" s="45">
        <f t="shared" si="33"/>
        <v>69.748933059999985</v>
      </c>
    </row>
    <row r="49" spans="22:30">
      <c r="V49" s="49"/>
      <c r="W49" s="29"/>
      <c r="X49" s="29"/>
      <c r="Y49" s="29"/>
      <c r="Z49" s="29"/>
      <c r="AA49" s="29"/>
      <c r="AB49" s="29"/>
      <c r="AC49" s="29"/>
      <c r="AD49" s="30"/>
    </row>
  </sheetData>
  <mergeCells count="1">
    <mergeCell ref="K8:L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topLeftCell="A2" workbookViewId="0">
      <selection sqref="A1:C32"/>
    </sheetView>
  </sheetViews>
  <sheetFormatPr defaultRowHeight="15"/>
  <cols>
    <col min="1" max="1" width="13.140625" bestFit="1" customWidth="1"/>
  </cols>
  <sheetData>
    <row r="1" spans="1:3">
      <c r="A1" s="5" t="s">
        <v>5</v>
      </c>
      <c r="B1" s="5" t="s">
        <v>6</v>
      </c>
      <c r="C1" s="5"/>
    </row>
    <row r="2" spans="1:3">
      <c r="A2" s="5" t="s">
        <v>7</v>
      </c>
      <c r="B2" s="5" t="s">
        <v>8</v>
      </c>
      <c r="C2" s="5"/>
    </row>
    <row r="3" spans="1:3">
      <c r="A3" s="5" t="s">
        <v>9</v>
      </c>
      <c r="B3" s="5" t="s">
        <v>10</v>
      </c>
      <c r="C3" s="5"/>
    </row>
    <row r="4" spans="1:3">
      <c r="A4" s="5" t="s">
        <v>11</v>
      </c>
      <c r="B4" s="5" t="s">
        <v>34</v>
      </c>
      <c r="C4" s="5"/>
    </row>
    <row r="5" spans="1:3">
      <c r="A5" s="5" t="s">
        <v>12</v>
      </c>
      <c r="B5" s="5" t="s">
        <v>35</v>
      </c>
      <c r="C5" s="5"/>
    </row>
    <row r="7" spans="1:3">
      <c r="A7" s="5" t="s">
        <v>13</v>
      </c>
      <c r="B7" s="5" t="s">
        <v>0</v>
      </c>
      <c r="C7" s="5" t="s">
        <v>14</v>
      </c>
    </row>
    <row r="8" spans="1:3" s="13" customFormat="1">
      <c r="A8" s="16">
        <v>40360</v>
      </c>
      <c r="B8" s="15">
        <v>3</v>
      </c>
      <c r="C8" s="13">
        <v>0.1</v>
      </c>
    </row>
    <row r="9" spans="1:3" s="7" customFormat="1">
      <c r="A9" s="10">
        <v>40391</v>
      </c>
      <c r="B9" s="9">
        <v>10</v>
      </c>
      <c r="C9" s="7">
        <v>0.2</v>
      </c>
    </row>
    <row r="10" spans="1:3">
      <c r="A10" s="6">
        <v>40422</v>
      </c>
      <c r="B10" s="5">
        <v>55</v>
      </c>
      <c r="C10" s="5">
        <v>0</v>
      </c>
    </row>
    <row r="11" spans="1:3">
      <c r="A11" s="6">
        <v>40452</v>
      </c>
      <c r="B11" s="5">
        <v>320</v>
      </c>
      <c r="C11" s="5">
        <v>0.06</v>
      </c>
    </row>
    <row r="12" spans="1:3">
      <c r="A12" s="6">
        <v>40483</v>
      </c>
      <c r="B12" s="5">
        <v>608</v>
      </c>
      <c r="C12" s="5">
        <v>0.03</v>
      </c>
    </row>
    <row r="13" spans="1:3">
      <c r="A13" s="6">
        <v>40513</v>
      </c>
      <c r="B13" s="5">
        <v>1010</v>
      </c>
      <c r="C13" s="5">
        <v>0.2</v>
      </c>
    </row>
    <row r="14" spans="1:3">
      <c r="A14" s="6">
        <v>40544</v>
      </c>
      <c r="B14" s="5">
        <v>1154</v>
      </c>
      <c r="C14" s="5">
        <v>0</v>
      </c>
    </row>
    <row r="15" spans="1:3">
      <c r="A15" s="6">
        <v>40575</v>
      </c>
      <c r="B15" s="5">
        <v>964</v>
      </c>
      <c r="C15" s="5">
        <v>0</v>
      </c>
    </row>
    <row r="16" spans="1:3">
      <c r="A16" s="6">
        <v>40603</v>
      </c>
      <c r="B16" s="5">
        <v>813</v>
      </c>
      <c r="C16" s="5">
        <v>0</v>
      </c>
    </row>
    <row r="17" spans="1:3">
      <c r="A17" s="6">
        <v>40634</v>
      </c>
      <c r="B17" s="5">
        <v>468</v>
      </c>
      <c r="C17" s="5">
        <v>0.03</v>
      </c>
    </row>
    <row r="18" spans="1:3">
      <c r="A18" s="6">
        <v>40664</v>
      </c>
      <c r="B18" s="5">
        <v>255</v>
      </c>
      <c r="C18" s="5">
        <v>0.03</v>
      </c>
    </row>
    <row r="19" spans="1:3">
      <c r="A19" s="6">
        <v>40695</v>
      </c>
      <c r="B19" s="5">
        <v>75</v>
      </c>
      <c r="C19" s="5">
        <v>0</v>
      </c>
    </row>
    <row r="20" spans="1:3">
      <c r="A20" s="6">
        <v>40725</v>
      </c>
      <c r="B20" s="5">
        <v>0</v>
      </c>
      <c r="C20" s="5">
        <v>0.03</v>
      </c>
    </row>
    <row r="21" spans="1:3">
      <c r="A21" s="6">
        <v>40756</v>
      </c>
      <c r="B21" s="5">
        <v>2</v>
      </c>
      <c r="C21" s="5">
        <v>0</v>
      </c>
    </row>
    <row r="22" spans="1:3">
      <c r="A22" s="16">
        <v>40787</v>
      </c>
      <c r="B22">
        <v>57</v>
      </c>
      <c r="C22">
        <v>7.0000000000000007E-2</v>
      </c>
    </row>
    <row r="23" spans="1:3">
      <c r="A23" s="16">
        <v>40817</v>
      </c>
      <c r="B23">
        <v>267</v>
      </c>
      <c r="C23">
        <v>0</v>
      </c>
    </row>
    <row r="24" spans="1:3">
      <c r="A24" s="16">
        <v>40848</v>
      </c>
      <c r="B24">
        <v>449</v>
      </c>
      <c r="C24">
        <v>0</v>
      </c>
    </row>
    <row r="25" spans="1:3">
      <c r="A25" s="16">
        <v>40878</v>
      </c>
      <c r="B25">
        <v>764</v>
      </c>
      <c r="C25">
        <v>0</v>
      </c>
    </row>
    <row r="26" spans="1:3">
      <c r="A26" s="16">
        <v>40909</v>
      </c>
      <c r="B26">
        <v>959</v>
      </c>
      <c r="C26">
        <v>0</v>
      </c>
    </row>
    <row r="27" spans="1:3">
      <c r="A27" s="16">
        <v>40940</v>
      </c>
      <c r="B27">
        <v>801</v>
      </c>
      <c r="C27">
        <v>0</v>
      </c>
    </row>
    <row r="28" spans="1:3">
      <c r="A28" s="16">
        <v>40969</v>
      </c>
      <c r="B28">
        <v>608</v>
      </c>
      <c r="C28">
        <v>0</v>
      </c>
    </row>
    <row r="29" spans="1:3">
      <c r="A29" s="16">
        <v>41000</v>
      </c>
      <c r="B29">
        <v>398</v>
      </c>
      <c r="C29">
        <v>0.03</v>
      </c>
    </row>
    <row r="30" spans="1:3">
      <c r="A30" s="16">
        <v>41030</v>
      </c>
      <c r="B30">
        <v>204</v>
      </c>
      <c r="C30">
        <v>0</v>
      </c>
    </row>
    <row r="31" spans="1:3">
      <c r="A31" s="16">
        <v>41061</v>
      </c>
      <c r="B31">
        <v>94</v>
      </c>
      <c r="C31">
        <v>0.03</v>
      </c>
    </row>
    <row r="32" spans="1:3">
      <c r="A32" s="16">
        <v>41091</v>
      </c>
      <c r="B32">
        <v>2</v>
      </c>
      <c r="C32">
        <v>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2"/>
  <sheetViews>
    <sheetView topLeftCell="A3" workbookViewId="0">
      <selection activeCell="A33" sqref="A33"/>
    </sheetView>
  </sheetViews>
  <sheetFormatPr defaultRowHeight="15"/>
  <cols>
    <col min="1" max="1" width="13.140625" bestFit="1" customWidth="1"/>
  </cols>
  <sheetData>
    <row r="1" spans="1:3">
      <c r="A1" s="7" t="s">
        <v>5</v>
      </c>
      <c r="B1" s="7" t="s">
        <v>15</v>
      </c>
      <c r="C1" s="7"/>
    </row>
    <row r="2" spans="1:3">
      <c r="A2" s="7" t="s">
        <v>7</v>
      </c>
      <c r="B2" s="7" t="s">
        <v>8</v>
      </c>
      <c r="C2" s="7"/>
    </row>
    <row r="3" spans="1:3">
      <c r="A3" s="7" t="s">
        <v>9</v>
      </c>
      <c r="B3" s="7" t="s">
        <v>10</v>
      </c>
      <c r="C3" s="7"/>
    </row>
    <row r="4" spans="1:3">
      <c r="A4" s="7" t="s">
        <v>11</v>
      </c>
      <c r="B4" s="7" t="s">
        <v>34</v>
      </c>
      <c r="C4" s="7"/>
    </row>
    <row r="5" spans="1:3">
      <c r="A5" s="7" t="s">
        <v>12</v>
      </c>
      <c r="B5" s="7" t="s">
        <v>35</v>
      </c>
      <c r="C5" s="7"/>
    </row>
    <row r="7" spans="1:3">
      <c r="A7" s="7" t="s">
        <v>13</v>
      </c>
      <c r="B7" s="7" t="s">
        <v>4</v>
      </c>
      <c r="C7" s="7" t="s">
        <v>14</v>
      </c>
    </row>
    <row r="8" spans="1:3" s="11" customFormat="1">
      <c r="A8" s="14">
        <v>40360</v>
      </c>
      <c r="B8" s="13">
        <v>365</v>
      </c>
      <c r="C8" s="11">
        <v>0.1</v>
      </c>
    </row>
    <row r="9" spans="1:3" s="9" customFormat="1">
      <c r="A9" s="12">
        <v>40391</v>
      </c>
      <c r="B9" s="11">
        <v>263</v>
      </c>
      <c r="C9" s="9">
        <v>0.2</v>
      </c>
    </row>
    <row r="10" spans="1:3">
      <c r="A10" s="8">
        <v>40422</v>
      </c>
      <c r="B10" s="7">
        <v>151</v>
      </c>
      <c r="C10" s="7">
        <v>0</v>
      </c>
    </row>
    <row r="11" spans="1:3">
      <c r="A11" s="8">
        <v>40452</v>
      </c>
      <c r="B11" s="7">
        <v>18</v>
      </c>
      <c r="C11" s="7">
        <v>0.06</v>
      </c>
    </row>
    <row r="12" spans="1:3">
      <c r="A12" s="8">
        <v>40483</v>
      </c>
      <c r="B12" s="7">
        <v>0</v>
      </c>
      <c r="C12" s="7">
        <v>0.03</v>
      </c>
    </row>
    <row r="13" spans="1:3">
      <c r="A13" s="8">
        <v>40513</v>
      </c>
      <c r="B13" s="7">
        <v>0</v>
      </c>
      <c r="C13" s="7">
        <v>0.2</v>
      </c>
    </row>
    <row r="14" spans="1:3">
      <c r="A14" s="8">
        <v>40544</v>
      </c>
      <c r="B14" s="7">
        <v>0</v>
      </c>
      <c r="C14" s="7">
        <v>0</v>
      </c>
    </row>
    <row r="15" spans="1:3">
      <c r="A15" s="8">
        <v>40575</v>
      </c>
      <c r="B15" s="7">
        <v>0</v>
      </c>
      <c r="C15" s="7">
        <v>0</v>
      </c>
    </row>
    <row r="16" spans="1:3">
      <c r="A16" s="8">
        <v>40603</v>
      </c>
      <c r="B16" s="7">
        <v>1</v>
      </c>
      <c r="C16" s="7">
        <v>0</v>
      </c>
    </row>
    <row r="17" spans="1:3">
      <c r="A17" s="8">
        <v>40634</v>
      </c>
      <c r="B17" s="7">
        <v>8</v>
      </c>
      <c r="C17" s="7">
        <v>0.03</v>
      </c>
    </row>
    <row r="18" spans="1:3">
      <c r="A18" s="8">
        <v>40664</v>
      </c>
      <c r="B18" s="7">
        <v>50</v>
      </c>
      <c r="C18" s="7">
        <v>0.03</v>
      </c>
    </row>
    <row r="19" spans="1:3">
      <c r="A19" s="8">
        <v>40695</v>
      </c>
      <c r="B19" s="7">
        <v>130</v>
      </c>
      <c r="C19" s="7">
        <v>0</v>
      </c>
    </row>
    <row r="20" spans="1:3">
      <c r="A20" s="8">
        <v>40725</v>
      </c>
      <c r="B20" s="7">
        <v>374</v>
      </c>
      <c r="C20" s="7">
        <v>0.03</v>
      </c>
    </row>
    <row r="21" spans="1:3">
      <c r="A21" s="8">
        <v>40756</v>
      </c>
      <c r="B21" s="7">
        <v>260</v>
      </c>
      <c r="C21" s="7">
        <v>0</v>
      </c>
    </row>
    <row r="22" spans="1:3">
      <c r="A22" s="16">
        <v>40787</v>
      </c>
      <c r="B22">
        <v>115</v>
      </c>
      <c r="C22">
        <v>7.0000000000000007E-2</v>
      </c>
    </row>
    <row r="23" spans="1:3">
      <c r="A23" s="16">
        <v>40817</v>
      </c>
      <c r="B23">
        <v>29</v>
      </c>
      <c r="C23">
        <v>0</v>
      </c>
    </row>
    <row r="24" spans="1:3">
      <c r="A24" s="16">
        <v>40848</v>
      </c>
      <c r="B24">
        <v>1</v>
      </c>
      <c r="C24">
        <v>0</v>
      </c>
    </row>
    <row r="25" spans="1:3">
      <c r="A25" s="16">
        <v>40878</v>
      </c>
      <c r="B25">
        <v>0</v>
      </c>
      <c r="C25">
        <v>0</v>
      </c>
    </row>
    <row r="26" spans="1:3">
      <c r="A26" s="16">
        <v>40909</v>
      </c>
      <c r="B26">
        <v>0</v>
      </c>
      <c r="C26">
        <v>0</v>
      </c>
    </row>
    <row r="27" spans="1:3">
      <c r="A27" s="16">
        <v>40940</v>
      </c>
      <c r="B27">
        <v>0</v>
      </c>
      <c r="C27">
        <v>0</v>
      </c>
    </row>
    <row r="28" spans="1:3">
      <c r="A28" s="16">
        <v>40969</v>
      </c>
      <c r="B28">
        <v>18</v>
      </c>
      <c r="C28">
        <v>0</v>
      </c>
    </row>
    <row r="29" spans="1:3">
      <c r="A29" s="16">
        <v>41000</v>
      </c>
      <c r="B29">
        <v>25</v>
      </c>
      <c r="C29">
        <v>0.03</v>
      </c>
    </row>
    <row r="30" spans="1:3">
      <c r="A30" s="16">
        <v>41030</v>
      </c>
      <c r="B30">
        <v>42</v>
      </c>
      <c r="C30">
        <v>0</v>
      </c>
    </row>
    <row r="31" spans="1:3">
      <c r="A31" s="16">
        <v>41061</v>
      </c>
      <c r="B31">
        <v>142</v>
      </c>
      <c r="C31">
        <v>0.03</v>
      </c>
    </row>
    <row r="32" spans="1:3">
      <c r="A32" s="16">
        <v>41091</v>
      </c>
      <c r="B32">
        <v>304</v>
      </c>
      <c r="C32">
        <v>0.2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A2" workbookViewId="0">
      <selection activeCell="E21" sqref="E21"/>
    </sheetView>
  </sheetViews>
  <sheetFormatPr defaultRowHeight="15"/>
  <cols>
    <col min="4" max="5" width="9.140625" style="15"/>
  </cols>
  <sheetData>
    <row r="1" spans="1:16">
      <c r="A1" s="15" t="s">
        <v>88</v>
      </c>
      <c r="B1" s="15"/>
      <c r="C1" s="15"/>
      <c r="F1" s="15"/>
      <c r="G1" s="15"/>
      <c r="H1" s="15"/>
      <c r="I1" s="15"/>
      <c r="J1" s="15"/>
      <c r="K1" s="15"/>
      <c r="L1" s="15"/>
      <c r="M1" s="15"/>
      <c r="N1" s="15"/>
    </row>
    <row r="2" spans="1:16">
      <c r="A2" s="15"/>
      <c r="B2" s="15"/>
      <c r="C2" s="15"/>
      <c r="F2" s="15"/>
      <c r="G2" s="15"/>
      <c r="H2" s="15"/>
      <c r="I2" s="15"/>
      <c r="J2" s="15"/>
      <c r="K2" s="15"/>
      <c r="L2" s="15"/>
      <c r="M2" s="15"/>
      <c r="N2" s="15"/>
    </row>
    <row r="3" spans="1:16">
      <c r="A3" s="15"/>
      <c r="B3" s="15"/>
      <c r="C3" s="15"/>
      <c r="F3" s="15"/>
      <c r="G3" s="15"/>
      <c r="H3" s="15"/>
      <c r="I3" s="15"/>
      <c r="J3" s="15"/>
      <c r="K3" s="15"/>
      <c r="L3" s="15"/>
      <c r="M3" s="15"/>
      <c r="N3" s="15"/>
    </row>
    <row r="4" spans="1:16">
      <c r="A4" s="15"/>
      <c r="B4" s="15"/>
      <c r="C4" s="15" t="s">
        <v>98</v>
      </c>
      <c r="F4" s="15" t="str">
        <f>HDD!B4</f>
        <v>Boston, MA, US (71.00W,42.36N)</v>
      </c>
      <c r="G4" s="15"/>
      <c r="H4" s="15"/>
      <c r="I4" s="15"/>
      <c r="J4" s="83" t="s">
        <v>94</v>
      </c>
      <c r="K4" s="83"/>
      <c r="L4" s="83"/>
      <c r="M4" s="65"/>
      <c r="N4" s="15"/>
    </row>
    <row r="5" spans="1:16" ht="26.25">
      <c r="A5" s="15" t="s">
        <v>89</v>
      </c>
      <c r="B5" s="15" t="s">
        <v>90</v>
      </c>
      <c r="C5" s="15" t="s">
        <v>101</v>
      </c>
      <c r="F5" s="15" t="s">
        <v>91</v>
      </c>
      <c r="G5" s="15" t="s">
        <v>92</v>
      </c>
      <c r="H5" s="15" t="s">
        <v>93</v>
      </c>
      <c r="I5" s="15"/>
      <c r="J5" s="66" t="s">
        <v>95</v>
      </c>
      <c r="K5" s="66" t="s">
        <v>96</v>
      </c>
      <c r="L5" s="66" t="s">
        <v>97</v>
      </c>
      <c r="M5" s="67"/>
      <c r="N5" s="15"/>
    </row>
    <row r="6" spans="1:16">
      <c r="A6" s="15"/>
      <c r="B6" s="15"/>
      <c r="C6" s="15"/>
      <c r="D6" s="15" t="s">
        <v>99</v>
      </c>
      <c r="E6" s="15" t="s">
        <v>100</v>
      </c>
      <c r="F6" s="15"/>
      <c r="G6" s="15"/>
      <c r="H6" s="15"/>
      <c r="I6" s="15"/>
      <c r="J6" s="65"/>
      <c r="K6" s="65"/>
      <c r="L6" s="65"/>
      <c r="M6" s="65" t="s">
        <v>102</v>
      </c>
      <c r="N6" s="15" t="s">
        <v>102</v>
      </c>
      <c r="P6" s="15" t="s">
        <v>102</v>
      </c>
    </row>
    <row r="7" spans="1:16">
      <c r="A7" s="15"/>
      <c r="B7" s="15"/>
      <c r="C7" s="15"/>
      <c r="F7" s="15"/>
      <c r="G7" s="15"/>
      <c r="H7" s="15"/>
      <c r="I7" s="15"/>
      <c r="J7" s="68"/>
      <c r="K7" s="69"/>
      <c r="L7" s="69"/>
      <c r="M7" s="69" t="s">
        <v>103</v>
      </c>
      <c r="N7" s="15" t="s">
        <v>28</v>
      </c>
      <c r="P7" s="15" t="s">
        <v>104</v>
      </c>
    </row>
    <row r="8" spans="1:16">
      <c r="A8" s="1">
        <f>'Energy Use'!B20</f>
        <v>40735</v>
      </c>
      <c r="B8" s="15"/>
      <c r="C8" s="19"/>
      <c r="D8" s="19">
        <f>'Energy Use'!S20</f>
        <v>3.7952559999999997</v>
      </c>
      <c r="E8" s="19">
        <f>'Energy Use'!D20</f>
        <v>0.9</v>
      </c>
      <c r="F8" s="15">
        <f>CDD!B20</f>
        <v>374</v>
      </c>
      <c r="G8" s="15">
        <f>HDD!B20</f>
        <v>0</v>
      </c>
      <c r="H8" s="15"/>
      <c r="I8" s="15"/>
      <c r="J8" s="70"/>
      <c r="K8" s="71">
        <v>284</v>
      </c>
      <c r="L8" s="71">
        <v>3</v>
      </c>
      <c r="M8" s="72"/>
      <c r="N8" s="15"/>
    </row>
    <row r="9" spans="1:16">
      <c r="A9" s="1">
        <f>'Energy Use'!B21</f>
        <v>40766</v>
      </c>
      <c r="B9" s="15"/>
      <c r="C9" s="19"/>
      <c r="D9" s="19">
        <f>'Energy Use'!S21</f>
        <v>3.252589</v>
      </c>
      <c r="E9" s="19">
        <f>'Energy Use'!D21</f>
        <v>0.8</v>
      </c>
      <c r="F9" s="15">
        <f>CDD!B21</f>
        <v>260</v>
      </c>
      <c r="G9" s="15">
        <f>HDD!B21</f>
        <v>2</v>
      </c>
      <c r="H9" s="15"/>
      <c r="I9" s="15"/>
      <c r="J9" s="73"/>
      <c r="K9" s="72">
        <v>193</v>
      </c>
      <c r="L9" s="72">
        <v>5</v>
      </c>
      <c r="M9" s="77">
        <f>0.0043*L9+0.5345</f>
        <v>0.55599999999999994</v>
      </c>
      <c r="N9" s="77">
        <f>D9+M9</f>
        <v>3.808589</v>
      </c>
      <c r="P9" s="19">
        <f>D9*'Energy Use'!$E$5+M9*'Energy Use'!$E$6</f>
        <v>11.445779259999998</v>
      </c>
    </row>
    <row r="10" spans="1:16">
      <c r="A10" s="1">
        <f>'Energy Use'!B22</f>
        <v>40797</v>
      </c>
      <c r="B10" s="15"/>
      <c r="C10" s="19"/>
      <c r="D10" s="19">
        <f>'Energy Use'!S22</f>
        <v>2.7440519999999999</v>
      </c>
      <c r="E10" s="19">
        <f>'Energy Use'!D22</f>
        <v>0.9</v>
      </c>
      <c r="F10" s="15">
        <f>CDD!B22</f>
        <v>115</v>
      </c>
      <c r="G10" s="15">
        <f>HDD!B22</f>
        <v>57</v>
      </c>
      <c r="H10" s="15"/>
      <c r="I10" s="15"/>
      <c r="J10" s="73"/>
      <c r="K10" s="72">
        <v>53</v>
      </c>
      <c r="L10" s="72">
        <v>66</v>
      </c>
      <c r="M10" s="77">
        <f t="shared" ref="M10:M20" si="0">0.0043*L10+0.5345</f>
        <v>0.81830000000000003</v>
      </c>
      <c r="N10" s="77">
        <f t="shared" ref="N10:N20" si="1">D10+M10</f>
        <v>3.5623519999999997</v>
      </c>
      <c r="P10" s="19">
        <f>D10*'Energy Use'!$E$5+M10*'Energy Use'!$E$6</f>
        <v>10.021893780000001</v>
      </c>
    </row>
    <row r="11" spans="1:16">
      <c r="A11" s="1">
        <f>'Energy Use'!B23</f>
        <v>40827</v>
      </c>
      <c r="B11" s="15"/>
      <c r="C11" s="19"/>
      <c r="D11" s="19">
        <f>'Energy Use'!S23</f>
        <v>2.4232299999999998</v>
      </c>
      <c r="E11" s="19">
        <f>'Energy Use'!D23</f>
        <v>1.2000000000000002</v>
      </c>
      <c r="F11" s="15">
        <f>CDD!B23</f>
        <v>29</v>
      </c>
      <c r="G11" s="15">
        <f>HDD!B23</f>
        <v>267</v>
      </c>
      <c r="H11" s="15"/>
      <c r="I11" s="15"/>
      <c r="J11" s="74"/>
      <c r="K11" s="69">
        <v>9</v>
      </c>
      <c r="L11" s="69">
        <v>348</v>
      </c>
      <c r="M11" s="77">
        <f t="shared" si="0"/>
        <v>2.0308999999999999</v>
      </c>
      <c r="N11" s="77">
        <f t="shared" si="1"/>
        <v>4.4541299999999993</v>
      </c>
      <c r="P11" s="19">
        <f>D11*'Energy Use'!$E$5+M11*'Energy Use'!$E$6</f>
        <v>10.2199405</v>
      </c>
    </row>
    <row r="12" spans="1:16">
      <c r="A12" s="1">
        <f>'Energy Use'!B24</f>
        <v>40858</v>
      </c>
      <c r="B12" s="15"/>
      <c r="C12" s="19"/>
      <c r="D12" s="19">
        <f>'Energy Use'!S24</f>
        <v>2.4949029999999999</v>
      </c>
      <c r="E12" s="19">
        <f>'Energy Use'!D24</f>
        <v>2.4000000000000004</v>
      </c>
      <c r="F12" s="15">
        <f>CDD!B24</f>
        <v>1</v>
      </c>
      <c r="G12" s="15">
        <f>HDD!B24</f>
        <v>449</v>
      </c>
      <c r="H12" s="15"/>
      <c r="I12" s="15"/>
      <c r="J12" s="74"/>
      <c r="K12" s="69">
        <v>0</v>
      </c>
      <c r="L12" s="69">
        <v>652</v>
      </c>
      <c r="M12" s="77">
        <f t="shared" si="0"/>
        <v>3.3380999999999998</v>
      </c>
      <c r="N12" s="77">
        <f t="shared" si="1"/>
        <v>5.8330029999999997</v>
      </c>
      <c r="P12" s="19">
        <f>D12*'Energy Use'!$E$5+M12*'Energy Use'!$E$6</f>
        <v>11.827966719999999</v>
      </c>
    </row>
    <row r="13" spans="1:16">
      <c r="A13" s="1">
        <f>'Energy Use'!B25</f>
        <v>40888</v>
      </c>
      <c r="B13" s="15"/>
      <c r="C13" s="19"/>
      <c r="D13" s="19">
        <f>'Energy Use'!S25</f>
        <v>3.0682869999999998</v>
      </c>
      <c r="E13" s="19">
        <f>'Energy Use'!D25</f>
        <v>3.4000000000000004</v>
      </c>
      <c r="F13" s="15">
        <f>CDD!B25</f>
        <v>0</v>
      </c>
      <c r="G13" s="15">
        <f>HDD!B25</f>
        <v>764</v>
      </c>
      <c r="H13" s="15"/>
      <c r="I13" s="15"/>
      <c r="J13" s="74"/>
      <c r="K13" s="69">
        <v>0</v>
      </c>
      <c r="L13" s="69">
        <v>902</v>
      </c>
      <c r="M13" s="77">
        <f t="shared" si="0"/>
        <v>4.4131</v>
      </c>
      <c r="N13" s="77">
        <f t="shared" si="1"/>
        <v>7.4813869999999998</v>
      </c>
      <c r="P13" s="19">
        <f>D13*'Energy Use'!$E$5+M13*'Energy Use'!$E$6</f>
        <v>14.86859428</v>
      </c>
    </row>
    <row r="14" spans="1:16">
      <c r="A14" s="1">
        <f>'Energy Use'!B26</f>
        <v>40920</v>
      </c>
      <c r="B14" s="15"/>
      <c r="C14" s="19"/>
      <c r="D14" s="19">
        <f>'Energy Use'!S26</f>
        <v>2.9147019999999997</v>
      </c>
      <c r="E14" s="19">
        <f>'Energy Use'!D26</f>
        <v>4.7</v>
      </c>
      <c r="F14" s="15">
        <f>CDD!B26</f>
        <v>0</v>
      </c>
      <c r="G14" s="15">
        <f>HDD!B26</f>
        <v>959</v>
      </c>
      <c r="H14" s="15"/>
      <c r="I14" s="15"/>
      <c r="J14" s="74"/>
      <c r="K14" s="69">
        <v>0</v>
      </c>
      <c r="L14" s="69">
        <v>1189</v>
      </c>
      <c r="M14" s="77">
        <f t="shared" si="0"/>
        <v>5.6471999999999998</v>
      </c>
      <c r="N14" s="77">
        <f t="shared" si="1"/>
        <v>8.5619019999999999</v>
      </c>
      <c r="P14" s="19">
        <f>D14*'Energy Use'!$E$5+M14*'Energy Use'!$E$6</f>
        <v>15.647723079999999</v>
      </c>
    </row>
    <row r="15" spans="1:16">
      <c r="A15" s="1">
        <f>'Energy Use'!B27</f>
        <v>40940</v>
      </c>
      <c r="B15" s="15"/>
      <c r="C15" s="19"/>
      <c r="D15" s="19">
        <f>'Energy Use'!S27</f>
        <v>2.225276</v>
      </c>
      <c r="E15" s="19">
        <f>'Energy Use'!D27</f>
        <v>4.1000000000000005</v>
      </c>
      <c r="F15" s="15">
        <f>CDD!B27</f>
        <v>0</v>
      </c>
      <c r="G15" s="15">
        <f>HDD!B27</f>
        <v>801</v>
      </c>
      <c r="H15" s="15"/>
      <c r="I15" s="15"/>
      <c r="J15" s="74"/>
      <c r="K15" s="69">
        <v>0</v>
      </c>
      <c r="L15" s="69">
        <v>950</v>
      </c>
      <c r="M15" s="77">
        <f t="shared" si="0"/>
        <v>4.6195000000000004</v>
      </c>
      <c r="N15" s="77">
        <f t="shared" si="1"/>
        <v>6.8447760000000004</v>
      </c>
      <c r="P15" s="19">
        <f>D15*'Energy Use'!$E$5+M15*'Energy Use'!$E$6</f>
        <v>12.26903834</v>
      </c>
    </row>
    <row r="16" spans="1:16">
      <c r="A16" s="1">
        <f>'Energy Use'!B28</f>
        <v>40969</v>
      </c>
      <c r="B16" s="15"/>
      <c r="C16" s="19"/>
      <c r="D16" s="19">
        <f>'Energy Use'!S28</f>
        <v>2.2218629999999999</v>
      </c>
      <c r="E16" s="19">
        <f>'Energy Use'!D28</f>
        <v>3.9000000000000004</v>
      </c>
      <c r="F16" s="15">
        <f>CDD!B28</f>
        <v>18</v>
      </c>
      <c r="G16" s="15">
        <f>HDD!B28</f>
        <v>608</v>
      </c>
      <c r="H16" s="15"/>
      <c r="I16" s="15"/>
      <c r="J16" s="74"/>
      <c r="K16" s="69">
        <v>0</v>
      </c>
      <c r="L16" s="69">
        <v>813</v>
      </c>
      <c r="M16" s="77">
        <f t="shared" si="0"/>
        <v>4.0304000000000002</v>
      </c>
      <c r="N16" s="77">
        <f t="shared" si="1"/>
        <v>6.2522630000000001</v>
      </c>
      <c r="P16" s="19">
        <f>D16*'Energy Use'!$E$5+M16*'Energy Use'!$E$6</f>
        <v>11.640851219999998</v>
      </c>
    </row>
    <row r="17" spans="1:16">
      <c r="A17" s="1">
        <f>'Energy Use'!B29</f>
        <v>41000</v>
      </c>
      <c r="B17" s="15"/>
      <c r="C17" s="19"/>
      <c r="D17" s="19">
        <f>'Energy Use'!S29</f>
        <v>2.2355149999999999</v>
      </c>
      <c r="E17" s="19">
        <f>'Energy Use'!D29</f>
        <v>1.9000000000000001</v>
      </c>
      <c r="F17" s="15">
        <f>CDD!B29</f>
        <v>25</v>
      </c>
      <c r="G17" s="15">
        <f>HDD!B29</f>
        <v>398</v>
      </c>
      <c r="H17" s="15"/>
      <c r="I17" s="15"/>
      <c r="J17" s="74"/>
      <c r="K17" s="69">
        <v>9</v>
      </c>
      <c r="L17" s="69">
        <v>537</v>
      </c>
      <c r="M17" s="77">
        <f t="shared" si="0"/>
        <v>2.8435999999999999</v>
      </c>
      <c r="N17" s="77">
        <f t="shared" si="1"/>
        <v>5.0791149999999998</v>
      </c>
      <c r="P17" s="19">
        <f>D17*'Energy Use'!$E$5+M17*'Energy Use'!$E$6</f>
        <v>10.443869299999999</v>
      </c>
    </row>
    <row r="18" spans="1:16">
      <c r="A18" s="1">
        <f>'Energy Use'!B30</f>
        <v>41030</v>
      </c>
      <c r="B18" s="15"/>
      <c r="C18" s="19"/>
      <c r="D18" s="19">
        <f>'Energy Use'!S30</f>
        <v>2.375448</v>
      </c>
      <c r="E18" s="19">
        <f>'Energy Use'!D30</f>
        <v>1.5</v>
      </c>
      <c r="F18" s="15">
        <f>CDD!B30</f>
        <v>42</v>
      </c>
      <c r="G18" s="15">
        <f>HDD!B30</f>
        <v>204</v>
      </c>
      <c r="H18" s="15"/>
      <c r="I18" s="15"/>
      <c r="J18" s="74"/>
      <c r="K18" s="69">
        <v>30</v>
      </c>
      <c r="L18" s="69">
        <v>204</v>
      </c>
      <c r="M18" s="77">
        <f t="shared" si="0"/>
        <v>1.4117</v>
      </c>
      <c r="N18" s="77">
        <f t="shared" si="1"/>
        <v>3.7871480000000002</v>
      </c>
      <c r="P18" s="19">
        <f>D18*'Energy Use'!$E$5+M18*'Energy Use'!$E$6</f>
        <v>9.4120462199999988</v>
      </c>
    </row>
    <row r="19" spans="1:16">
      <c r="A19" s="1">
        <f>'Energy Use'!B31</f>
        <v>41061</v>
      </c>
      <c r="B19" s="15"/>
      <c r="C19" s="19"/>
      <c r="D19" s="19">
        <f>'Energy Use'!S31</f>
        <v>3.0136789999999998</v>
      </c>
      <c r="E19" s="19">
        <f>'Energy Use'!D31</f>
        <v>0.8</v>
      </c>
      <c r="F19" s="15">
        <f>CDD!B31</f>
        <v>142</v>
      </c>
      <c r="G19" s="15">
        <f>HDD!B31</f>
        <v>94</v>
      </c>
      <c r="H19" s="15"/>
      <c r="I19" s="15"/>
      <c r="J19" s="74"/>
      <c r="K19" s="69">
        <v>116</v>
      </c>
      <c r="L19" s="69">
        <v>87</v>
      </c>
      <c r="M19" s="77">
        <f t="shared" si="0"/>
        <v>0.90859999999999996</v>
      </c>
      <c r="N19" s="77">
        <f t="shared" si="1"/>
        <v>3.9222789999999996</v>
      </c>
      <c r="P19" s="19">
        <f>D19*'Energy Use'!$E$5+M19*'Energy Use'!$E$6</f>
        <v>11.016992059999998</v>
      </c>
    </row>
    <row r="20" spans="1:16">
      <c r="A20" s="1">
        <f>'Energy Use'!B32</f>
        <v>41101</v>
      </c>
      <c r="B20" s="15"/>
      <c r="C20" s="19"/>
      <c r="D20" s="19">
        <f>'Energy Use'!S32</f>
        <v>4.7986779999999998</v>
      </c>
      <c r="E20" s="19">
        <f>'Energy Use'!D32</f>
        <v>0.60000000000000009</v>
      </c>
      <c r="F20" s="15">
        <f>CDD!B32</f>
        <v>304</v>
      </c>
      <c r="G20" s="15">
        <f>HDD!B32</f>
        <v>2</v>
      </c>
      <c r="H20" s="15"/>
      <c r="I20" s="15"/>
      <c r="J20" s="70"/>
      <c r="K20" s="71">
        <v>284</v>
      </c>
      <c r="L20" s="71">
        <v>3</v>
      </c>
      <c r="M20" s="77">
        <f t="shared" si="0"/>
        <v>0.5474</v>
      </c>
      <c r="N20" s="77">
        <f t="shared" si="1"/>
        <v>5.3460779999999994</v>
      </c>
      <c r="O20" s="29"/>
      <c r="P20" s="19">
        <f>D20*'Energy Use'!$E$5+M20*'Energy Use'!$E$6</f>
        <v>16.60071232</v>
      </c>
    </row>
    <row r="21" spans="1:16">
      <c r="A21" s="15"/>
      <c r="B21" s="15"/>
      <c r="C21" s="15"/>
      <c r="D21" s="19">
        <f>SUM(D9:D20)</f>
        <v>33.768222000000002</v>
      </c>
      <c r="E21" s="19">
        <f>SUM(E9:E20)</f>
        <v>26.200000000000006</v>
      </c>
      <c r="F21" s="15">
        <f>SUM(F9:F20)</f>
        <v>936</v>
      </c>
      <c r="G21" s="15"/>
      <c r="H21" s="15"/>
      <c r="I21" s="15"/>
      <c r="J21" s="74"/>
      <c r="K21" s="72">
        <f>SUM(K9:K20)</f>
        <v>694</v>
      </c>
      <c r="L21" s="72"/>
      <c r="M21" s="75"/>
      <c r="N21" s="19">
        <f>SUM(N9:N20)</f>
        <v>64.933022000000008</v>
      </c>
      <c r="P21" s="19">
        <f>SUM(P9:P20)</f>
        <v>145.41540707999997</v>
      </c>
    </row>
    <row r="22" spans="1:16">
      <c r="A22" s="15"/>
      <c r="B22" s="15"/>
      <c r="C22" s="15"/>
      <c r="F22" s="15"/>
      <c r="G22" s="15"/>
      <c r="H22" s="15"/>
      <c r="I22" s="15"/>
      <c r="J22" s="74"/>
      <c r="K22" s="69"/>
      <c r="L22" s="69"/>
      <c r="M22" s="75"/>
      <c r="N22" s="19">
        <f>SUM(D9:D20)+SUM(E9:E20)</f>
        <v>59.968222000000011</v>
      </c>
    </row>
    <row r="24" spans="1:16">
      <c r="M24" s="76"/>
      <c r="N24" s="76">
        <f>(N22-N21)/N22</f>
        <v>-8.2790515283244451E-2</v>
      </c>
    </row>
  </sheetData>
  <mergeCells count="1">
    <mergeCell ref="J4:L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Gas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2013-03-15T16:51:15Z</dcterms:modified>
</cp:coreProperties>
</file>