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2"/>
  </bookViews>
  <sheets>
    <sheet name="Pre-Retrofit" sheetId="9" r:id="rId1"/>
    <sheet name="Propane" sheetId="1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</workbook>
</file>

<file path=xl/calcChain.xml><?xml version="1.0" encoding="utf-8"?>
<calcChain xmlns="http://schemas.openxmlformats.org/spreadsheetml/2006/main">
  <c r="S60" i="9"/>
  <c r="R60"/>
  <c r="K60"/>
  <c r="D60"/>
  <c r="E60"/>
  <c r="K31" i="8"/>
  <c r="M31" s="1"/>
  <c r="K32"/>
  <c r="M32" s="1"/>
  <c r="K33"/>
  <c r="M33" s="1"/>
  <c r="K34"/>
  <c r="M34" s="1"/>
  <c r="K35"/>
  <c r="M35" s="1"/>
  <c r="K36"/>
  <c r="M36" s="1"/>
  <c r="K37"/>
  <c r="M37" s="1"/>
  <c r="K38"/>
  <c r="M38" s="1"/>
  <c r="K39"/>
  <c r="M39" s="1"/>
  <c r="K40"/>
  <c r="M40" s="1"/>
  <c r="K41"/>
  <c r="M41" s="1"/>
  <c r="K42"/>
  <c r="M42" s="1"/>
  <c r="N21" i="3"/>
  <c r="C35" i="8"/>
  <c r="C36"/>
  <c r="C37"/>
  <c r="C38"/>
  <c r="C39"/>
  <c r="C40"/>
  <c r="C41"/>
  <c r="C42"/>
  <c r="AC98" i="9"/>
  <c r="AC97"/>
  <c r="AC96"/>
  <c r="AC95"/>
  <c r="AC94"/>
  <c r="AC93"/>
  <c r="AC92"/>
  <c r="AC91"/>
  <c r="AC90"/>
  <c r="AC89"/>
  <c r="AC88"/>
  <c r="AC87"/>
  <c r="X92"/>
  <c r="X91"/>
  <c r="X90"/>
  <c r="X89"/>
  <c r="X88"/>
  <c r="Z98"/>
  <c r="Z97"/>
  <c r="Z96"/>
  <c r="Z95"/>
  <c r="Z94"/>
  <c r="Z93"/>
  <c r="Z92"/>
  <c r="Z91"/>
  <c r="Z90"/>
  <c r="Z89"/>
  <c r="Z88"/>
  <c r="Z87"/>
  <c r="Y98"/>
  <c r="Y97"/>
  <c r="Y96"/>
  <c r="Y95"/>
  <c r="Y94"/>
  <c r="Y93"/>
  <c r="Y92"/>
  <c r="Y91"/>
  <c r="Y90"/>
  <c r="Y89"/>
  <c r="Y88"/>
  <c r="Y87"/>
  <c r="X98"/>
  <c r="X97"/>
  <c r="X96"/>
  <c r="X95"/>
  <c r="X94"/>
  <c r="X93"/>
  <c r="AA87"/>
  <c r="N20" i="3"/>
  <c r="N19"/>
  <c r="N18"/>
  <c r="N17"/>
  <c r="N16"/>
  <c r="N15"/>
  <c r="N14"/>
  <c r="N13"/>
  <c r="N12"/>
  <c r="N11"/>
  <c r="N10"/>
  <c r="N9"/>
  <c r="AA97" i="9"/>
  <c r="AA95"/>
  <c r="AA93"/>
  <c r="AA91"/>
  <c r="AA89"/>
  <c r="T62"/>
  <c r="W99"/>
  <c r="O65" i="1"/>
  <c r="J70"/>
  <c r="J69"/>
  <c r="J68"/>
  <c r="J67"/>
  <c r="J72" s="1"/>
  <c r="L21" i="3"/>
  <c r="G20"/>
  <c r="G19"/>
  <c r="G18"/>
  <c r="G17"/>
  <c r="G16"/>
  <c r="G15"/>
  <c r="G14"/>
  <c r="G13"/>
  <c r="G12"/>
  <c r="G11"/>
  <c r="G10"/>
  <c r="G9"/>
  <c r="G8"/>
  <c r="F20"/>
  <c r="F19"/>
  <c r="F18"/>
  <c r="F17"/>
  <c r="F16"/>
  <c r="F15"/>
  <c r="F14"/>
  <c r="F13"/>
  <c r="F12"/>
  <c r="F11"/>
  <c r="F10"/>
  <c r="F9"/>
  <c r="F8"/>
  <c r="A20"/>
  <c r="A19"/>
  <c r="A18"/>
  <c r="A17"/>
  <c r="A16"/>
  <c r="A15"/>
  <c r="A14"/>
  <c r="A13"/>
  <c r="A12"/>
  <c r="A11"/>
  <c r="A10"/>
  <c r="A9"/>
  <c r="A8"/>
  <c r="F4"/>
  <c r="D40" i="2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X25" i="9"/>
  <c r="N60"/>
  <c r="J60"/>
  <c r="C60"/>
  <c r="W60"/>
  <c r="X60"/>
  <c r="Z60"/>
  <c r="U58"/>
  <c r="T58"/>
  <c r="U57"/>
  <c r="T57"/>
  <c r="U56"/>
  <c r="T56"/>
  <c r="U55"/>
  <c r="T55"/>
  <c r="U54"/>
  <c r="T54"/>
  <c r="U53"/>
  <c r="T53"/>
  <c r="U52"/>
  <c r="T52"/>
  <c r="U51"/>
  <c r="T51"/>
  <c r="U50"/>
  <c r="T50"/>
  <c r="U49"/>
  <c r="T49"/>
  <c r="U48"/>
  <c r="T48"/>
  <c r="U47"/>
  <c r="T47"/>
  <c r="AA58"/>
  <c r="AA57"/>
  <c r="AA56"/>
  <c r="AA55"/>
  <c r="AA54"/>
  <c r="AA53"/>
  <c r="AA51"/>
  <c r="AA49"/>
  <c r="Z58"/>
  <c r="Z57"/>
  <c r="Z56"/>
  <c r="Z55"/>
  <c r="Z54"/>
  <c r="Z53"/>
  <c r="Z51"/>
  <c r="Z49"/>
  <c r="X58"/>
  <c r="X57"/>
  <c r="X56"/>
  <c r="X55"/>
  <c r="X54"/>
  <c r="X53"/>
  <c r="X51"/>
  <c r="X49"/>
  <c r="W58"/>
  <c r="W57"/>
  <c r="W56"/>
  <c r="W55"/>
  <c r="W54"/>
  <c r="W53"/>
  <c r="W51"/>
  <c r="W49"/>
  <c r="L58"/>
  <c r="L57"/>
  <c r="L56"/>
  <c r="L55"/>
  <c r="L54"/>
  <c r="L53"/>
  <c r="L51"/>
  <c r="L49"/>
  <c r="S58"/>
  <c r="S57"/>
  <c r="S56"/>
  <c r="S55"/>
  <c r="S54"/>
  <c r="S53"/>
  <c r="S52"/>
  <c r="S51"/>
  <c r="S50"/>
  <c r="S49"/>
  <c r="S48"/>
  <c r="S47"/>
  <c r="R58"/>
  <c r="R57"/>
  <c r="R56"/>
  <c r="R55"/>
  <c r="R54"/>
  <c r="R53"/>
  <c r="R52"/>
  <c r="R51"/>
  <c r="R50"/>
  <c r="R49"/>
  <c r="R48"/>
  <c r="R47"/>
  <c r="P58"/>
  <c r="P57"/>
  <c r="P56"/>
  <c r="P55"/>
  <c r="P54"/>
  <c r="P53"/>
  <c r="P52"/>
  <c r="P51"/>
  <c r="P50"/>
  <c r="P49"/>
  <c r="P48"/>
  <c r="P47"/>
  <c r="N58"/>
  <c r="N57"/>
  <c r="N56"/>
  <c r="N55"/>
  <c r="N54"/>
  <c r="N53"/>
  <c r="N52"/>
  <c r="N51"/>
  <c r="N50"/>
  <c r="N49"/>
  <c r="N48"/>
  <c r="N47"/>
  <c r="K58"/>
  <c r="K57"/>
  <c r="K56"/>
  <c r="K55"/>
  <c r="K54"/>
  <c r="K53"/>
  <c r="K52"/>
  <c r="Z52"/>
  <c r="K51"/>
  <c r="K50"/>
  <c r="AA50"/>
  <c r="K49"/>
  <c r="K48"/>
  <c r="AA48"/>
  <c r="K47"/>
  <c r="Z47"/>
  <c r="AC99"/>
  <c r="AA88"/>
  <c r="AA90"/>
  <c r="AA92"/>
  <c r="AA94"/>
  <c r="AA96"/>
  <c r="AA98"/>
  <c r="L52"/>
  <c r="AA52"/>
  <c r="L47"/>
  <c r="AA47"/>
  <c r="Z48"/>
  <c r="AA60"/>
  <c r="L48"/>
  <c r="L50"/>
  <c r="Z50"/>
  <c r="AA99"/>
  <c r="W52"/>
  <c r="X52"/>
  <c r="X47"/>
  <c r="W47"/>
  <c r="X48"/>
  <c r="W48"/>
  <c r="X50"/>
  <c r="W50"/>
  <c r="E39"/>
  <c r="E38"/>
  <c r="E37"/>
  <c r="E36"/>
  <c r="K30" i="8"/>
  <c r="M30" s="1"/>
  <c r="K29"/>
  <c r="M29" s="1"/>
  <c r="K28"/>
  <c r="M28" s="1"/>
  <c r="K27"/>
  <c r="M27" s="1"/>
  <c r="K26"/>
  <c r="M26" s="1"/>
  <c r="K25"/>
  <c r="M25" s="1"/>
  <c r="K24"/>
  <c r="M24" s="1"/>
  <c r="K23"/>
  <c r="M23" s="1"/>
  <c r="K22"/>
  <c r="M22" s="1"/>
  <c r="K21"/>
  <c r="M21" s="1"/>
  <c r="K20"/>
  <c r="M20" s="1"/>
  <c r="K19"/>
  <c r="M19" s="1"/>
  <c r="K18"/>
  <c r="M18" s="1"/>
  <c r="K17"/>
  <c r="M17" s="1"/>
  <c r="K16"/>
  <c r="M16" s="1"/>
  <c r="K15"/>
  <c r="M15" s="1"/>
  <c r="K14"/>
  <c r="M14" s="1"/>
  <c r="K13"/>
  <c r="M13" s="1"/>
  <c r="K12"/>
  <c r="M12" s="1"/>
  <c r="K11"/>
  <c r="M11" s="1"/>
  <c r="B33" i="9"/>
  <c r="B31"/>
  <c r="D27"/>
  <c r="D26"/>
  <c r="D25"/>
  <c r="D24"/>
  <c r="D23"/>
  <c r="D22"/>
  <c r="D21"/>
  <c r="D20"/>
  <c r="D19"/>
  <c r="D18"/>
  <c r="D17"/>
  <c r="D16"/>
  <c r="D15"/>
  <c r="D14"/>
  <c r="D13"/>
  <c r="D12"/>
  <c r="D11"/>
  <c r="H26"/>
  <c r="D10"/>
  <c r="H19"/>
  <c r="C54"/>
  <c r="D54"/>
  <c r="D9"/>
  <c r="H17"/>
  <c r="C52"/>
  <c r="D52"/>
  <c r="D8"/>
  <c r="H15"/>
  <c r="C50"/>
  <c r="D50"/>
  <c r="D7"/>
  <c r="H13"/>
  <c r="C48"/>
  <c r="D48"/>
  <c r="B72" i="1"/>
  <c r="B70"/>
  <c r="E4" i="8"/>
  <c r="G74" i="1"/>
  <c r="G49"/>
  <c r="H2"/>
  <c r="R42" i="8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K9"/>
  <c r="G40" i="2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G8"/>
  <c r="F8"/>
  <c r="D40" i="1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B9"/>
  <c r="G53"/>
  <c r="B13"/>
  <c r="G63"/>
  <c r="B23"/>
  <c r="G69"/>
  <c r="D66"/>
  <c r="G75"/>
  <c r="B35"/>
  <c r="D65"/>
  <c r="D64"/>
  <c r="D63"/>
  <c r="D62"/>
  <c r="G70"/>
  <c r="D61"/>
  <c r="G68"/>
  <c r="D60"/>
  <c r="G64"/>
  <c r="B24"/>
  <c r="D59"/>
  <c r="G62"/>
  <c r="B22"/>
  <c r="D58"/>
  <c r="G61"/>
  <c r="B21"/>
  <c r="D57"/>
  <c r="G60"/>
  <c r="B20"/>
  <c r="D56"/>
  <c r="G59"/>
  <c r="B19"/>
  <c r="D55"/>
  <c r="G58"/>
  <c r="B18"/>
  <c r="D54"/>
  <c r="G54"/>
  <c r="B14"/>
  <c r="D53"/>
  <c r="G52"/>
  <c r="B12"/>
  <c r="D52"/>
  <c r="G50"/>
  <c r="B10"/>
  <c r="D51"/>
  <c r="D50"/>
  <c r="G48"/>
  <c r="D49"/>
  <c r="D48"/>
  <c r="D47"/>
  <c r="D46"/>
  <c r="G76"/>
  <c r="B36"/>
  <c r="G78"/>
  <c r="B38"/>
  <c r="E2" i="8"/>
  <c r="E3"/>
  <c r="E1" s="1"/>
  <c r="C39" i="1"/>
  <c r="G50" i="9"/>
  <c r="E50"/>
  <c r="H50"/>
  <c r="G54"/>
  <c r="E54"/>
  <c r="H54"/>
  <c r="G48"/>
  <c r="E48"/>
  <c r="H48"/>
  <c r="G52"/>
  <c r="E52"/>
  <c r="H52"/>
  <c r="G71" i="1"/>
  <c r="B31"/>
  <c r="G67"/>
  <c r="G65"/>
  <c r="B25"/>
  <c r="G57"/>
  <c r="B17"/>
  <c r="G55"/>
  <c r="B15"/>
  <c r="G51"/>
  <c r="B11"/>
  <c r="G77"/>
  <c r="B37"/>
  <c r="B34"/>
  <c r="G72"/>
  <c r="B32"/>
  <c r="G66"/>
  <c r="B26"/>
  <c r="G56"/>
  <c r="B16"/>
  <c r="G47"/>
  <c r="B7"/>
  <c r="G73"/>
  <c r="B33"/>
  <c r="H12" i="9"/>
  <c r="C47"/>
  <c r="D47"/>
  <c r="H14"/>
  <c r="C49"/>
  <c r="D49"/>
  <c r="H16"/>
  <c r="C51"/>
  <c r="D51"/>
  <c r="H18"/>
  <c r="C53"/>
  <c r="D53"/>
  <c r="H20"/>
  <c r="C55"/>
  <c r="D55"/>
  <c r="H22"/>
  <c r="C57"/>
  <c r="D57"/>
  <c r="H25"/>
  <c r="H21"/>
  <c r="C56"/>
  <c r="D56"/>
  <c r="H23"/>
  <c r="C58"/>
  <c r="D58"/>
  <c r="H24"/>
  <c r="B8" i="1"/>
  <c r="C38"/>
  <c r="C37"/>
  <c r="C36"/>
  <c r="C35"/>
  <c r="C34"/>
  <c r="C32"/>
  <c r="C31"/>
  <c r="C30" i="8"/>
  <c r="C26" i="1"/>
  <c r="C25"/>
  <c r="C29" i="8"/>
  <c r="D29" s="1"/>
  <c r="C28"/>
  <c r="C24" i="1"/>
  <c r="C23"/>
  <c r="C27" i="8"/>
  <c r="D27" s="1"/>
  <c r="C26"/>
  <c r="C22" i="1"/>
  <c r="C21"/>
  <c r="C25" i="8"/>
  <c r="D25" s="1"/>
  <c r="C24"/>
  <c r="D24"/>
  <c r="E24" s="1"/>
  <c r="C20" i="1"/>
  <c r="C19"/>
  <c r="C23" i="8"/>
  <c r="C22"/>
  <c r="D22" s="1"/>
  <c r="C18" i="1"/>
  <c r="C17"/>
  <c r="C21" i="8"/>
  <c r="D21"/>
  <c r="G21" s="1"/>
  <c r="T21" s="1"/>
  <c r="C20"/>
  <c r="C16" i="1"/>
  <c r="C15"/>
  <c r="C19" i="8"/>
  <c r="D19" s="1"/>
  <c r="C18"/>
  <c r="C14" i="1"/>
  <c r="C13"/>
  <c r="C17" i="8"/>
  <c r="D17" s="1"/>
  <c r="E17" s="1"/>
  <c r="C16"/>
  <c r="C12" i="1"/>
  <c r="C11"/>
  <c r="C15" i="8"/>
  <c r="D15" s="1"/>
  <c r="C14"/>
  <c r="C10" i="1"/>
  <c r="C9"/>
  <c r="C13" i="8"/>
  <c r="D13" s="1"/>
  <c r="C12"/>
  <c r="C8" i="1"/>
  <c r="C7"/>
  <c r="C11" i="8"/>
  <c r="D11" s="1"/>
  <c r="G56" i="9"/>
  <c r="E56"/>
  <c r="H56"/>
  <c r="G57"/>
  <c r="E57"/>
  <c r="H57"/>
  <c r="G53"/>
  <c r="E53"/>
  <c r="H53"/>
  <c r="G49"/>
  <c r="E49"/>
  <c r="H49"/>
  <c r="G58"/>
  <c r="E58"/>
  <c r="H58"/>
  <c r="G55"/>
  <c r="E55"/>
  <c r="H55"/>
  <c r="G51"/>
  <c r="E51"/>
  <c r="H51"/>
  <c r="G47"/>
  <c r="E47"/>
  <c r="H47"/>
  <c r="C33" i="1"/>
  <c r="M23" i="9"/>
  <c r="L70" i="1" l="1"/>
  <c r="H70" s="1"/>
  <c r="B30" s="1"/>
  <c r="L68"/>
  <c r="H68" s="1"/>
  <c r="B28" s="1"/>
  <c r="L69"/>
  <c r="H69" s="1"/>
  <c r="B29" s="1"/>
  <c r="L67"/>
  <c r="H67" s="1"/>
  <c r="B27" s="1"/>
  <c r="O13" i="8"/>
  <c r="O15"/>
  <c r="W15" s="1"/>
  <c r="O17"/>
  <c r="O19"/>
  <c r="W19" s="1"/>
  <c r="O21"/>
  <c r="O23"/>
  <c r="O25"/>
  <c r="O27"/>
  <c r="W27" s="1"/>
  <c r="O29"/>
  <c r="O31"/>
  <c r="O33"/>
  <c r="O35"/>
  <c r="D13" i="3" s="1"/>
  <c r="M13" s="1"/>
  <c r="O37" i="8"/>
  <c r="O39"/>
  <c r="O41"/>
  <c r="O11"/>
  <c r="O12"/>
  <c r="O14"/>
  <c r="O16"/>
  <c r="O18"/>
  <c r="O20"/>
  <c r="O22"/>
  <c r="O24"/>
  <c r="O26"/>
  <c r="O28"/>
  <c r="O30"/>
  <c r="O32"/>
  <c r="O34"/>
  <c r="D12" i="3" s="1"/>
  <c r="M12" s="1"/>
  <c r="O36" i="8"/>
  <c r="O38"/>
  <c r="O40"/>
  <c r="O42"/>
  <c r="D12"/>
  <c r="E12" s="1"/>
  <c r="D14"/>
  <c r="G14" s="1"/>
  <c r="T14" s="1"/>
  <c r="D16"/>
  <c r="D18"/>
  <c r="G18" s="1"/>
  <c r="T18" s="1"/>
  <c r="D20"/>
  <c r="D23"/>
  <c r="E23" s="1"/>
  <c r="D26"/>
  <c r="D28"/>
  <c r="E28" s="1"/>
  <c r="H28" s="1"/>
  <c r="U28" s="1"/>
  <c r="D30"/>
  <c r="K46"/>
  <c r="O46" s="1"/>
  <c r="K50"/>
  <c r="K53"/>
  <c r="K49"/>
  <c r="K48" s="1"/>
  <c r="O48" s="1"/>
  <c r="K52"/>
  <c r="D40"/>
  <c r="G40" s="1"/>
  <c r="T40" s="1"/>
  <c r="C52"/>
  <c r="D36"/>
  <c r="E36" s="1"/>
  <c r="P42"/>
  <c r="D14" i="3"/>
  <c r="M14" s="1"/>
  <c r="P35" i="8"/>
  <c r="P34"/>
  <c r="P11"/>
  <c r="P13"/>
  <c r="P15"/>
  <c r="P17"/>
  <c r="P19"/>
  <c r="P21"/>
  <c r="P23"/>
  <c r="P25"/>
  <c r="P27"/>
  <c r="P29"/>
  <c r="D19" i="3"/>
  <c r="M19" s="1"/>
  <c r="Q19" s="1"/>
  <c r="D18"/>
  <c r="M18" s="1"/>
  <c r="P39" i="8"/>
  <c r="P38"/>
  <c r="D11" i="3"/>
  <c r="M11" s="1"/>
  <c r="O11" s="1"/>
  <c r="P31" i="8"/>
  <c r="E21"/>
  <c r="H21" s="1"/>
  <c r="U21" s="1"/>
  <c r="W21"/>
  <c r="W17"/>
  <c r="G24"/>
  <c r="T24" s="1"/>
  <c r="W24"/>
  <c r="W28"/>
  <c r="P12"/>
  <c r="X12" s="1"/>
  <c r="P14"/>
  <c r="P16"/>
  <c r="P18"/>
  <c r="P20"/>
  <c r="P22"/>
  <c r="P24"/>
  <c r="P26"/>
  <c r="P28"/>
  <c r="P30"/>
  <c r="D20" i="3"/>
  <c r="M20" s="1"/>
  <c r="O20" s="1"/>
  <c r="P41" i="8"/>
  <c r="D16" i="3"/>
  <c r="M16" s="1"/>
  <c r="Q16" s="1"/>
  <c r="P37" i="8"/>
  <c r="P36"/>
  <c r="P33"/>
  <c r="P32"/>
  <c r="G15"/>
  <c r="T15" s="1"/>
  <c r="E15"/>
  <c r="E26"/>
  <c r="G26"/>
  <c r="T26" s="1"/>
  <c r="P40"/>
  <c r="W30"/>
  <c r="E14"/>
  <c r="H14" s="1"/>
  <c r="U14" s="1"/>
  <c r="E19"/>
  <c r="X19" s="1"/>
  <c r="G19"/>
  <c r="T19" s="1"/>
  <c r="E30"/>
  <c r="X30" s="1"/>
  <c r="G30"/>
  <c r="T30" s="1"/>
  <c r="E18" i="3"/>
  <c r="W40" i="8"/>
  <c r="E14" i="3"/>
  <c r="G36" i="8"/>
  <c r="T36" s="1"/>
  <c r="Q18" i="3"/>
  <c r="O18"/>
  <c r="Q14"/>
  <c r="O14"/>
  <c r="D10"/>
  <c r="M10" s="1"/>
  <c r="D9"/>
  <c r="D39" i="8"/>
  <c r="D35"/>
  <c r="E13" i="3" s="1"/>
  <c r="D17"/>
  <c r="M17" s="1"/>
  <c r="W11" i="8"/>
  <c r="G12"/>
  <c r="T12" s="1"/>
  <c r="G17"/>
  <c r="T17" s="1"/>
  <c r="W12"/>
  <c r="W16"/>
  <c r="G28"/>
  <c r="T28" s="1"/>
  <c r="D42"/>
  <c r="D41"/>
  <c r="G41" s="1"/>
  <c r="T41" s="1"/>
  <c r="D38"/>
  <c r="D37"/>
  <c r="P55"/>
  <c r="E11"/>
  <c r="G11"/>
  <c r="T11" s="1"/>
  <c r="X14"/>
  <c r="G16"/>
  <c r="T16" s="1"/>
  <c r="E16"/>
  <c r="H19"/>
  <c r="U19" s="1"/>
  <c r="E20"/>
  <c r="G20"/>
  <c r="T20" s="1"/>
  <c r="W20"/>
  <c r="G23"/>
  <c r="T23" s="1"/>
  <c r="W23"/>
  <c r="X26"/>
  <c r="H26"/>
  <c r="U26" s="1"/>
  <c r="E27"/>
  <c r="G27"/>
  <c r="T27" s="1"/>
  <c r="H30"/>
  <c r="U30" s="1"/>
  <c r="E17" i="3"/>
  <c r="E39" i="8"/>
  <c r="G39"/>
  <c r="T39" s="1"/>
  <c r="W35"/>
  <c r="E35"/>
  <c r="H12"/>
  <c r="U12" s="1"/>
  <c r="W13"/>
  <c r="E13"/>
  <c r="G13"/>
  <c r="T13" s="1"/>
  <c r="X17"/>
  <c r="H17"/>
  <c r="U17" s="1"/>
  <c r="W18"/>
  <c r="E22"/>
  <c r="G22"/>
  <c r="T22" s="1"/>
  <c r="W22"/>
  <c r="H24"/>
  <c r="U24" s="1"/>
  <c r="X24"/>
  <c r="E25"/>
  <c r="G25"/>
  <c r="T25" s="1"/>
  <c r="W25"/>
  <c r="X28"/>
  <c r="E29"/>
  <c r="G29"/>
  <c r="T29" s="1"/>
  <c r="W29"/>
  <c r="W41"/>
  <c r="E41"/>
  <c r="E37"/>
  <c r="W37"/>
  <c r="C46"/>
  <c r="D46" s="1"/>
  <c r="D43" l="1"/>
  <c r="Q20" i="3"/>
  <c r="P43" i="8"/>
  <c r="W26"/>
  <c r="W39"/>
  <c r="Q12" i="3"/>
  <c r="O12"/>
  <c r="Q13"/>
  <c r="O13"/>
  <c r="C27" i="1"/>
  <c r="C31" i="8"/>
  <c r="C32"/>
  <c r="D32" s="1"/>
  <c r="C28" i="1"/>
  <c r="C29"/>
  <c r="C33" i="8"/>
  <c r="D33" s="1"/>
  <c r="C34"/>
  <c r="D34" s="1"/>
  <c r="C30" i="1"/>
  <c r="G37" i="8"/>
  <c r="T37" s="1"/>
  <c r="E15" i="3"/>
  <c r="E19"/>
  <c r="E18" i="8"/>
  <c r="X18" s="1"/>
  <c r="G35"/>
  <c r="T35" s="1"/>
  <c r="W14"/>
  <c r="W36"/>
  <c r="E40"/>
  <c r="H40" s="1"/>
  <c r="U40" s="1"/>
  <c r="Q11" i="3"/>
  <c r="O16"/>
  <c r="O19"/>
  <c r="P44" i="8"/>
  <c r="F53"/>
  <c r="O44"/>
  <c r="W34"/>
  <c r="P46"/>
  <c r="X21"/>
  <c r="O43"/>
  <c r="W43" s="1"/>
  <c r="D15" i="3"/>
  <c r="M15" s="1"/>
  <c r="H15" i="8"/>
  <c r="U15" s="1"/>
  <c r="X15"/>
  <c r="W32"/>
  <c r="E16" i="3"/>
  <c r="G38" i="8"/>
  <c r="E38"/>
  <c r="W38"/>
  <c r="E20" i="3"/>
  <c r="E42" i="8"/>
  <c r="G42"/>
  <c r="T42" s="1"/>
  <c r="W42"/>
  <c r="Q17" i="3"/>
  <c r="O17"/>
  <c r="D21"/>
  <c r="M9"/>
  <c r="Q10"/>
  <c r="O10"/>
  <c r="H36" i="8"/>
  <c r="U36" s="1"/>
  <c r="X36"/>
  <c r="X37"/>
  <c r="H37"/>
  <c r="U37" s="1"/>
  <c r="X41"/>
  <c r="H41"/>
  <c r="U41" s="1"/>
  <c r="H29"/>
  <c r="U29" s="1"/>
  <c r="X29"/>
  <c r="H22"/>
  <c r="U22" s="1"/>
  <c r="X22"/>
  <c r="H35"/>
  <c r="U35" s="1"/>
  <c r="X35"/>
  <c r="E46"/>
  <c r="W46"/>
  <c r="H25"/>
  <c r="U25" s="1"/>
  <c r="X25"/>
  <c r="H18"/>
  <c r="U18" s="1"/>
  <c r="H13"/>
  <c r="U13" s="1"/>
  <c r="X13"/>
  <c r="X39"/>
  <c r="H39"/>
  <c r="U39" s="1"/>
  <c r="X27"/>
  <c r="H27"/>
  <c r="U27" s="1"/>
  <c r="X23"/>
  <c r="H23"/>
  <c r="U23" s="1"/>
  <c r="H20"/>
  <c r="U20" s="1"/>
  <c r="X20"/>
  <c r="H16"/>
  <c r="U16" s="1"/>
  <c r="X16"/>
  <c r="X11"/>
  <c r="H11"/>
  <c r="U11" s="1"/>
  <c r="W33" l="1"/>
  <c r="E33"/>
  <c r="G33"/>
  <c r="T33" s="1"/>
  <c r="E11" i="3"/>
  <c r="C50" i="8"/>
  <c r="C49"/>
  <c r="C53"/>
  <c r="D31"/>
  <c r="T38"/>
  <c r="E12" i="3"/>
  <c r="E34" i="8"/>
  <c r="G34"/>
  <c r="T34" s="1"/>
  <c r="E32"/>
  <c r="E10" i="3"/>
  <c r="G32" i="8"/>
  <c r="T32" s="1"/>
  <c r="X40"/>
  <c r="W57"/>
  <c r="T57"/>
  <c r="X46"/>
  <c r="P48"/>
  <c r="Q9" i="3"/>
  <c r="O9"/>
  <c r="M21"/>
  <c r="H42" i="8"/>
  <c r="U42" s="1"/>
  <c r="X42"/>
  <c r="H38"/>
  <c r="U38" s="1"/>
  <c r="U57" s="1"/>
  <c r="X38"/>
  <c r="Q15" i="3"/>
  <c r="O15"/>
  <c r="E43" i="8"/>
  <c r="H32" l="1"/>
  <c r="U32" s="1"/>
  <c r="X32"/>
  <c r="H34"/>
  <c r="U34" s="1"/>
  <c r="X34"/>
  <c r="W31"/>
  <c r="E31"/>
  <c r="G31"/>
  <c r="T31" s="1"/>
  <c r="E9" i="3"/>
  <c r="D44" i="8"/>
  <c r="W44" s="1"/>
  <c r="X33"/>
  <c r="H33"/>
  <c r="U33" s="1"/>
  <c r="C48"/>
  <c r="D48" s="1"/>
  <c r="Q21" i="3"/>
  <c r="O21"/>
  <c r="X57" i="8"/>
  <c r="E48" l="1"/>
  <c r="G48"/>
  <c r="W48"/>
  <c r="O22" i="3"/>
  <c r="E21"/>
  <c r="X31" i="8"/>
  <c r="H31"/>
  <c r="U31" s="1"/>
  <c r="E55"/>
  <c r="E44"/>
  <c r="T55"/>
  <c r="T53"/>
  <c r="T51"/>
  <c r="W53"/>
  <c r="W55"/>
  <c r="W51"/>
  <c r="O24" i="3"/>
  <c r="U51" i="8" l="1"/>
  <c r="U55"/>
  <c r="U53"/>
  <c r="H48"/>
  <c r="X48"/>
  <c r="X51"/>
  <c r="X53"/>
  <c r="X55"/>
</calcChain>
</file>

<file path=xl/comments1.xml><?xml version="1.0" encoding="utf-8"?>
<comments xmlns="http://schemas.openxmlformats.org/spreadsheetml/2006/main">
  <authors>
    <author>Cathy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deg days to distribute Nov 11 delivery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degree days to distribute Nov 11 delivery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degree days to distribute Nov 11 delivery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degree days to distribute Nov 11 delivery</t>
        </r>
      </text>
    </comment>
  </commentList>
</comments>
</file>

<file path=xl/comments2.xml><?xml version="1.0" encoding="utf-8"?>
<comments xmlns="http://schemas.openxmlformats.org/spreadsheetml/2006/main">
  <authors>
    <author>Cathy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best fit equation fof propane substituting predicted HDD</t>
        </r>
      </text>
    </comment>
  </commentList>
</comments>
</file>

<file path=xl/sharedStrings.xml><?xml version="1.0" encoding="utf-8"?>
<sst xmlns="http://schemas.openxmlformats.org/spreadsheetml/2006/main" count="222" uniqueCount="130">
  <si>
    <t>HDD</t>
  </si>
  <si>
    <t>Electricity used</t>
  </si>
  <si>
    <t>(negative)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</si>
  <si>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</si>
  <si>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</si>
  <si>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</si>
  <si>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</si>
  <si>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</si>
  <si>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</si>
  <si>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</si>
  <si>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</si>
  <si>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</si>
  <si>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</si>
  <si>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Station ID: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</si>
  <si>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</si>
  <si>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</si>
  <si>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</si>
  <si>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</si>
  <si>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</si>
  <si>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</si>
  <si>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</si>
  <si>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</si>
  <si>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</si>
  <si>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</si>
  <si>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</si>
  <si>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</si>
  <si>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source KWH</t>
  </si>
  <si>
    <t>Total kwh</t>
  </si>
  <si>
    <t>site</t>
  </si>
  <si>
    <t>source</t>
  </si>
  <si>
    <t>Total Mbtu</t>
  </si>
  <si>
    <t>Belchertown Single Family</t>
  </si>
  <si>
    <t>Clark</t>
  </si>
  <si>
    <t>fuel  per day before delivery</t>
  </si>
  <si>
    <t>Gallons</t>
  </si>
  <si>
    <t>MMBtu</t>
  </si>
  <si>
    <t>WESTFIELD BARNES MUNICIPAL, MA, US (72.72W,42.16N)</t>
  </si>
  <si>
    <t>KBAF</t>
  </si>
  <si>
    <t>Westfield</t>
  </si>
  <si>
    <t>Home</t>
  </si>
  <si>
    <t>Belchertown Single Family Home</t>
  </si>
  <si>
    <t>propane source/site</t>
  </si>
  <si>
    <t>Propane gal t0 MMBtu</t>
  </si>
  <si>
    <t>Clark Propane Deliveries</t>
  </si>
  <si>
    <t>Del date</t>
  </si>
  <si>
    <t># of gals</t>
  </si>
  <si>
    <t>Month Starting</t>
  </si>
  <si>
    <t>Propane use per month post retrofit</t>
  </si>
  <si>
    <t>Meter read date</t>
  </si>
  <si>
    <t>kwh</t>
  </si>
  <si>
    <t>Pre retrofit electricity data</t>
  </si>
  <si>
    <t>propane gal to Mbtu</t>
  </si>
  <si>
    <t>Propane use per month pre retrofit -- USE OCT 08-SEP 09 to minimize overlap with construction given the available data</t>
  </si>
  <si>
    <t>From application</t>
  </si>
  <si>
    <t>From 2011 National Grid info</t>
  </si>
  <si>
    <t>Calculated by Month below</t>
  </si>
  <si>
    <t>Total gal</t>
  </si>
  <si>
    <t>Propane used</t>
  </si>
  <si>
    <t>Wood used</t>
  </si>
  <si>
    <t>(in cords)</t>
  </si>
  <si>
    <t>Taken from 2011 NREL report</t>
  </si>
  <si>
    <t>cord wd to Mbtu</t>
  </si>
  <si>
    <t>Mbtu</t>
  </si>
  <si>
    <t xml:space="preserve">site &amp; source </t>
  </si>
  <si>
    <t>closest and best data to Belchertown, ma</t>
  </si>
  <si>
    <t>24 month totals</t>
  </si>
  <si>
    <t>18 month totals</t>
  </si>
  <si>
    <t>12 month totals</t>
  </si>
  <si>
    <t>6 month totals</t>
  </si>
  <si>
    <t>Post Retrofit</t>
  </si>
  <si>
    <t>Distributed wood use based on HDD</t>
  </si>
  <si>
    <t>Electricity used from NGrid</t>
  </si>
  <si>
    <t>PRE_RETROFIT</t>
  </si>
  <si>
    <t>MIN USAGE (w 12 mos data, use average of 2 lowest)</t>
  </si>
  <si>
    <t>Linear Regression on Post Retrofit data</t>
  </si>
  <si>
    <t xml:space="preserve">Month </t>
  </si>
  <si>
    <t>Date</t>
  </si>
  <si>
    <t>Actual CDD</t>
  </si>
  <si>
    <t>Actual HDD</t>
  </si>
  <si>
    <t>Predicted (BEopt 1.3)</t>
  </si>
  <si>
    <t>BEopt 1.3 kWh</t>
  </si>
  <si>
    <t>BEopt 1.3 CDD</t>
  </si>
  <si>
    <t>BEopt 1.3 HDD</t>
  </si>
  <si>
    <t>HDD's</t>
  </si>
  <si>
    <t>use to distribute Nov delivery</t>
  </si>
  <si>
    <t>Total deg days to distriute</t>
  </si>
  <si>
    <t>Gals</t>
  </si>
  <si>
    <t>DISTRIBUTION DIDN'T CORRELATE WITH HDD</t>
  </si>
  <si>
    <t xml:space="preserve">USED ALTERNATE CALCULATION HERE BECAUSE AN EVEN </t>
  </si>
  <si>
    <t xml:space="preserve">MAIN CALCULATION DISTRIBUTES AMOUNT DELIVERED </t>
  </si>
  <si>
    <t>EVENLY OVER TIME PERIOD FROM PREVIOUS DELIVERY</t>
  </si>
  <si>
    <t>DHW/mo</t>
  </si>
  <si>
    <t xml:space="preserve">Used Jun/Jul average as </t>
  </si>
  <si>
    <t>base load for DHW before</t>
  </si>
  <si>
    <t>distributing based on HDD</t>
  </si>
  <si>
    <t>Actual site energy</t>
  </si>
  <si>
    <t>Electricity</t>
  </si>
  <si>
    <t>Propane</t>
  </si>
  <si>
    <t>WEATHER NORMIZATION FOR PRE-RETROFIT</t>
  </si>
  <si>
    <t>Predicted (BEopt 1.3) for Westfield Barnes</t>
  </si>
  <si>
    <t>Aug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</si>
  <si>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</si>
  <si>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</si>
  <si>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</si>
  <si>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</si>
  <si>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</si>
  <si>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</si>
  <si>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</si>
  <si>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</si>
  <si>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</si>
  <si>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</si>
  <si>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Sep</t>
  </si>
  <si>
    <t>NORMALIZATION ONLY NEEDS TO BE APPLIED TO WOOD AND ONLY FROM OCT - MAR</t>
  </si>
  <si>
    <t>site wood</t>
  </si>
  <si>
    <t>propane</t>
  </si>
  <si>
    <t>Normalized</t>
  </si>
  <si>
    <t>Non normalized</t>
  </si>
  <si>
    <t>electricity</t>
  </si>
  <si>
    <t>NORMALIZED SITE</t>
  </si>
  <si>
    <t>NORMALIZED SOURCE</t>
  </si>
  <si>
    <t>WEATHER NORMALIZED PRE_RETROFIT</t>
  </si>
  <si>
    <t>Normalized Propane</t>
  </si>
  <si>
    <t>MMBtu Normalized Source</t>
  </si>
  <si>
    <t>FOR 2012 REPORT, USE OCT 08 - SEP 09 TO MINIMIZE OVERLAP WITH CONSTRUCTION</t>
  </si>
  <si>
    <t>MMBtu Normalized Site</t>
  </si>
  <si>
    <t>site total</t>
  </si>
  <si>
    <t>MIN USAGE 6 mo</t>
  </si>
  <si>
    <t>12 mo totals</t>
  </si>
  <si>
    <t>6 mos</t>
  </si>
  <si>
    <t>12 mos</t>
  </si>
</sst>
</file>

<file path=xl/styles.xml><?xml version="1.0" encoding="utf-8"?>
<styleSheet xmlns="http://schemas.openxmlformats.org/spreadsheetml/2006/main">
  <numFmts count="1">
    <numFmt numFmtId="164" formatCode="&quot;$&quot;#,##0.0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5">
    <xf numFmtId="0" fontId="0" fillId="0" borderId="0" xfId="0"/>
    <xf numFmtId="17" fontId="0" fillId="0" borderId="0" xfId="0" applyNumberFormat="1"/>
    <xf numFmtId="0" fontId="0" fillId="0" borderId="0" xfId="0" applyFill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9" fillId="0" borderId="0" xfId="43" applyAlignment="1" applyProtection="1"/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17" fontId="0" fillId="0" borderId="15" xfId="0" applyNumberFormat="1" applyBorder="1"/>
    <xf numFmtId="0" fontId="0" fillId="0" borderId="0" xfId="0" applyBorder="1"/>
    <xf numFmtId="0" fontId="0" fillId="0" borderId="16" xfId="0" applyBorder="1"/>
    <xf numFmtId="17" fontId="0" fillId="0" borderId="17" xfId="0" applyNumberFormat="1" applyBorder="1"/>
    <xf numFmtId="0" fontId="0" fillId="0" borderId="18" xfId="0" applyBorder="1"/>
    <xf numFmtId="0" fontId="0" fillId="0" borderId="19" xfId="0" applyBorder="1"/>
    <xf numFmtId="2" fontId="18" fillId="0" borderId="0" xfId="42" applyNumberFormat="1" applyFont="1" applyFill="1" applyBorder="1" applyAlignment="1">
      <alignment wrapText="1"/>
    </xf>
    <xf numFmtId="0" fontId="18" fillId="0" borderId="0" xfId="42" applyNumberFormat="1" applyFont="1" applyFill="1" applyBorder="1" applyAlignment="1">
      <alignment wrapText="1"/>
    </xf>
    <xf numFmtId="0" fontId="0" fillId="0" borderId="12" xfId="0" applyBorder="1"/>
    <xf numFmtId="0" fontId="0" fillId="0" borderId="14" xfId="0" applyFill="1" applyBorder="1"/>
    <xf numFmtId="0" fontId="0" fillId="0" borderId="15" xfId="0" applyBorder="1"/>
    <xf numFmtId="2" fontId="0" fillId="0" borderId="0" xfId="0" applyNumberFormat="1" applyBorder="1"/>
    <xf numFmtId="17" fontId="0" fillId="0" borderId="0" xfId="0" applyNumberFormat="1" applyBorder="1"/>
    <xf numFmtId="17" fontId="0" fillId="0" borderId="18" xfId="0" applyNumberFormat="1" applyBorder="1"/>
    <xf numFmtId="17" fontId="0" fillId="0" borderId="0" xfId="0" applyNumberFormat="1" applyFill="1" applyBorder="1"/>
    <xf numFmtId="2" fontId="0" fillId="0" borderId="0" xfId="0" applyNumberFormat="1" applyFill="1" applyBorder="1"/>
    <xf numFmtId="0" fontId="0" fillId="0" borderId="17" xfId="0" applyBorder="1"/>
    <xf numFmtId="2" fontId="0" fillId="0" borderId="18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6" xfId="0" applyNumberFormat="1" applyBorder="1"/>
    <xf numFmtId="2" fontId="0" fillId="0" borderId="19" xfId="0" applyNumberFormat="1" applyBorder="1"/>
    <xf numFmtId="17" fontId="0" fillId="0" borderId="13" xfId="0" applyNumberFormat="1" applyBorder="1"/>
    <xf numFmtId="4" fontId="0" fillId="0" borderId="0" xfId="0" applyNumberFormat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18" fillId="33" borderId="11" xfId="42" applyNumberFormat="1" applyFont="1" applyFill="1" applyBorder="1" applyAlignment="1">
      <alignment wrapText="1"/>
    </xf>
    <xf numFmtId="14" fontId="20" fillId="0" borderId="20" xfId="0" applyNumberFormat="1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3" fontId="20" fillId="0" borderId="20" xfId="0" applyNumberFormat="1" applyFont="1" applyBorder="1" applyAlignment="1">
      <alignment horizontal="left" wrapText="1"/>
    </xf>
    <xf numFmtId="0" fontId="0" fillId="0" borderId="21" xfId="0" applyBorder="1"/>
    <xf numFmtId="17" fontId="0" fillId="0" borderId="22" xfId="0" applyNumberFormat="1" applyBorder="1"/>
    <xf numFmtId="2" fontId="0" fillId="0" borderId="22" xfId="0" applyNumberFormat="1" applyFill="1" applyBorder="1"/>
    <xf numFmtId="2" fontId="0" fillId="0" borderId="22" xfId="0" applyNumberFormat="1" applyBorder="1"/>
    <xf numFmtId="0" fontId="0" fillId="0" borderId="22" xfId="0" applyBorder="1"/>
    <xf numFmtId="2" fontId="0" fillId="0" borderId="23" xfId="0" applyNumberFormat="1" applyBorder="1"/>
    <xf numFmtId="16" fontId="0" fillId="0" borderId="0" xfId="0" applyNumberFormat="1"/>
    <xf numFmtId="164" fontId="18" fillId="0" borderId="0" xfId="42" applyNumberFormat="1" applyFill="1" applyAlignment="1">
      <alignment horizontal="right"/>
    </xf>
    <xf numFmtId="164" fontId="21" fillId="0" borderId="18" xfId="42" applyNumberFormat="1" applyFont="1" applyFill="1" applyBorder="1" applyAlignment="1">
      <alignment horizontal="center" wrapText="1"/>
    </xf>
    <xf numFmtId="164" fontId="21" fillId="0" borderId="18" xfId="42" applyNumberFormat="1" applyFont="1" applyFill="1" applyBorder="1" applyAlignment="1">
      <alignment horizontal="right" wrapText="1"/>
    </xf>
    <xf numFmtId="0" fontId="18" fillId="0" borderId="0" xfId="42" applyNumberFormat="1" applyFill="1" applyAlignment="1"/>
    <xf numFmtId="0" fontId="22" fillId="0" borderId="0" xfId="0" applyFont="1"/>
    <xf numFmtId="0" fontId="18" fillId="0" borderId="18" xfId="42" applyNumberFormat="1" applyBorder="1" applyAlignment="1"/>
    <xf numFmtId="0" fontId="22" fillId="0" borderId="18" xfId="0" applyFont="1" applyBorder="1"/>
    <xf numFmtId="0" fontId="22" fillId="0" borderId="0" xfId="0" applyFont="1" applyBorder="1"/>
    <xf numFmtId="0" fontId="18" fillId="0" borderId="0" xfId="42" applyNumberFormat="1" applyBorder="1" applyAlignment="1"/>
    <xf numFmtId="1" fontId="23" fillId="34" borderId="0" xfId="0" applyNumberFormat="1" applyFont="1" applyFill="1" applyBorder="1"/>
    <xf numFmtId="0" fontId="18" fillId="0" borderId="0" xfId="42" applyNumberFormat="1" applyAlignment="1"/>
    <xf numFmtId="1" fontId="0" fillId="0" borderId="0" xfId="0" applyNumberFormat="1"/>
    <xf numFmtId="3" fontId="18" fillId="0" borderId="0" xfId="42" applyNumberFormat="1" applyFont="1" applyAlignment="1">
      <alignment horizontal="center"/>
    </xf>
    <xf numFmtId="10" fontId="0" fillId="0" borderId="0" xfId="0" applyNumberFormat="1"/>
    <xf numFmtId="9" fontId="0" fillId="0" borderId="0" xfId="44" applyFont="1"/>
    <xf numFmtId="164" fontId="21" fillId="0" borderId="0" xfId="42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4" fontId="18" fillId="0" borderId="0" xfId="42" applyNumberFormat="1" applyFill="1" applyBorder="1" applyAlignment="1">
      <alignment horizontal="right"/>
    </xf>
    <xf numFmtId="0" fontId="18" fillId="0" borderId="0" xfId="42" applyNumberFormat="1" applyFill="1" applyBorder="1" applyAlignment="1"/>
    <xf numFmtId="2" fontId="23" fillId="34" borderId="0" xfId="0" applyNumberFormat="1" applyFont="1" applyFill="1" applyBorder="1"/>
    <xf numFmtId="2" fontId="23" fillId="0" borderId="0" xfId="0" applyNumberFormat="1" applyFont="1"/>
    <xf numFmtId="2" fontId="22" fillId="0" borderId="0" xfId="0" applyNumberFormat="1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3" fontId="18" fillId="0" borderId="0" xfId="42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8" fillId="0" borderId="0" xfId="42" applyNumberFormat="1" applyFont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Wood Heating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'Pre-Retrofit'!$T$48:$T$52</c:f>
              <c:numCache>
                <c:formatCode>General</c:formatCode>
                <c:ptCount val="5"/>
                <c:pt idx="0">
                  <c:v>773</c:v>
                </c:pt>
                <c:pt idx="1">
                  <c:v>1059</c:v>
                </c:pt>
                <c:pt idx="2">
                  <c:v>1407</c:v>
                </c:pt>
                <c:pt idx="3">
                  <c:v>1017</c:v>
                </c:pt>
                <c:pt idx="4">
                  <c:v>890</c:v>
                </c:pt>
              </c:numCache>
            </c:numRef>
          </c:xVal>
          <c:yVal>
            <c:numRef>
              <c:f>'Pre-Retrofit'!$K$48:$K$52</c:f>
              <c:numCache>
                <c:formatCode>0.00</c:formatCode>
                <c:ptCount val="5"/>
                <c:pt idx="0">
                  <c:v>18.375</c:v>
                </c:pt>
                <c:pt idx="1">
                  <c:v>36.75</c:v>
                </c:pt>
                <c:pt idx="2">
                  <c:v>61.25</c:v>
                </c:pt>
                <c:pt idx="3">
                  <c:v>36.75</c:v>
                </c:pt>
                <c:pt idx="4">
                  <c:v>18.375</c:v>
                </c:pt>
              </c:numCache>
            </c:numRef>
          </c:yVal>
        </c:ser>
        <c:axId val="69478272"/>
        <c:axId val="69479808"/>
      </c:scatterChart>
      <c:valAx>
        <c:axId val="69478272"/>
        <c:scaling>
          <c:orientation val="minMax"/>
        </c:scaling>
        <c:axPos val="b"/>
        <c:numFmt formatCode="General" sourceLinked="1"/>
        <c:tickLblPos val="nextTo"/>
        <c:crossAx val="69479808"/>
        <c:crosses val="autoZero"/>
        <c:crossBetween val="midCat"/>
      </c:valAx>
      <c:valAx>
        <c:axId val="69479808"/>
        <c:scaling>
          <c:orientation val="minMax"/>
        </c:scaling>
        <c:axPos val="l"/>
        <c:majorGridlines/>
        <c:numFmt formatCode="0.00" sourceLinked="1"/>
        <c:tickLblPos val="nextTo"/>
        <c:crossAx val="694782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Belchertown Single Family Propane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55"/>
          <c:y val="0.13928441236512293"/>
          <c:w val="0.70199463053389977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Propane!$C$5</c:f>
              <c:strCache>
                <c:ptCount val="1"/>
                <c:pt idx="0">
                  <c:v>MMBtu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Propane!$A$19:$A$38</c:f>
              <c:numCache>
                <c:formatCode>mmm-yy</c:formatCode>
                <c:ptCount val="20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</c:numCache>
            </c:numRef>
          </c:cat>
          <c:val>
            <c:numRef>
              <c:f>Propane!$C$19:$C$38</c:f>
              <c:numCache>
                <c:formatCode>0.00</c:formatCode>
                <c:ptCount val="20"/>
                <c:pt idx="0">
                  <c:v>5.7339436462184876</c:v>
                </c:pt>
                <c:pt idx="1">
                  <c:v>6.8414163252100835</c:v>
                </c:pt>
                <c:pt idx="2">
                  <c:v>5.2498072838095249</c:v>
                </c:pt>
                <c:pt idx="3">
                  <c:v>4.2818406733333338</c:v>
                </c:pt>
                <c:pt idx="4">
                  <c:v>2.3995007999999998</c:v>
                </c:pt>
                <c:pt idx="5">
                  <c:v>1.01624691</c:v>
                </c:pt>
                <c:pt idx="6">
                  <c:v>0.64361610000000002</c:v>
                </c:pt>
                <c:pt idx="7">
                  <c:v>0.66506997000000001</c:v>
                </c:pt>
                <c:pt idx="8">
                  <c:v>0.81646415571929831</c:v>
                </c:pt>
                <c:pt idx="9">
                  <c:v>0.95938903860526314</c:v>
                </c:pt>
                <c:pt idx="10">
                  <c:v>2.1585353976052635</c:v>
                </c:pt>
                <c:pt idx="11">
                  <c:v>3.3896404141926242</c:v>
                </c:pt>
                <c:pt idx="12">
                  <c:v>5.148724760816326</c:v>
                </c:pt>
                <c:pt idx="13">
                  <c:v>6.1844361587755099</c:v>
                </c:pt>
                <c:pt idx="14">
                  <c:v>5.2290906942857145</c:v>
                </c:pt>
                <c:pt idx="15">
                  <c:v>3.3059788800000005</c:v>
                </c:pt>
                <c:pt idx="16">
                  <c:v>1.6505137645714287</c:v>
                </c:pt>
                <c:pt idx="17">
                  <c:v>0.61796667428571428</c:v>
                </c:pt>
                <c:pt idx="18">
                  <c:v>0.6385655634285714</c:v>
                </c:pt>
                <c:pt idx="19">
                  <c:v>0.6385655634285714</c:v>
                </c:pt>
              </c:numCache>
            </c:numRef>
          </c:val>
        </c:ser>
        <c:axId val="70397952"/>
        <c:axId val="70399488"/>
      </c:barChart>
      <c:lineChart>
        <c:grouping val="standard"/>
        <c:ser>
          <c:idx val="1"/>
          <c:order val="1"/>
          <c:tx>
            <c:strRef>
              <c:f>Propane!$D$5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Propane!$A$19:$A$25</c:f>
              <c:numCache>
                <c:formatCode>mmm-yy</c:formatCode>
                <c:ptCount val="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</c:numCache>
            </c:numRef>
          </c:cat>
          <c:val>
            <c:numRef>
              <c:f>Propane!$D$19:$D$38</c:f>
              <c:numCache>
                <c:formatCode>General</c:formatCode>
                <c:ptCount val="20"/>
                <c:pt idx="0">
                  <c:v>1130</c:v>
                </c:pt>
                <c:pt idx="1">
                  <c:v>1309</c:v>
                </c:pt>
                <c:pt idx="2">
                  <c:v>1080</c:v>
                </c:pt>
                <c:pt idx="3">
                  <c:v>883</c:v>
                </c:pt>
                <c:pt idx="4">
                  <c:v>471</c:v>
                </c:pt>
                <c:pt idx="5">
                  <c:v>189</c:v>
                </c:pt>
                <c:pt idx="6">
                  <c:v>69</c:v>
                </c:pt>
                <c:pt idx="7">
                  <c:v>16</c:v>
                </c:pt>
                <c:pt idx="8">
                  <c:v>34</c:v>
                </c:pt>
                <c:pt idx="9">
                  <c:v>87</c:v>
                </c:pt>
                <c:pt idx="10">
                  <c:v>429</c:v>
                </c:pt>
                <c:pt idx="11">
                  <c:v>610</c:v>
                </c:pt>
                <c:pt idx="12">
                  <c:v>906</c:v>
                </c:pt>
                <c:pt idx="13">
                  <c:v>1071</c:v>
                </c:pt>
                <c:pt idx="14">
                  <c:v>890</c:v>
                </c:pt>
                <c:pt idx="15">
                  <c:v>626</c:v>
                </c:pt>
                <c:pt idx="16">
                  <c:v>441</c:v>
                </c:pt>
                <c:pt idx="17">
                  <c:v>160</c:v>
                </c:pt>
                <c:pt idx="18">
                  <c:v>87</c:v>
                </c:pt>
                <c:pt idx="19">
                  <c:v>15</c:v>
                </c:pt>
              </c:numCache>
            </c:numRef>
          </c:val>
        </c:ser>
        <c:marker val="1"/>
        <c:axId val="70405504"/>
        <c:axId val="70402816"/>
      </c:lineChart>
      <c:dateAx>
        <c:axId val="70397952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70399488"/>
        <c:crosses val="autoZero"/>
        <c:auto val="1"/>
        <c:lblOffset val="100"/>
        <c:baseTimeUnit val="months"/>
      </c:dateAx>
      <c:valAx>
        <c:axId val="703994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MMBtus/month</a:t>
                </a:r>
              </a:p>
            </c:rich>
          </c:tx>
        </c:title>
        <c:numFmt formatCode="0.00" sourceLinked="1"/>
        <c:tickLblPos val="nextTo"/>
        <c:crossAx val="70397952"/>
        <c:crosses val="autoZero"/>
        <c:crossBetween val="between"/>
      </c:valAx>
      <c:valAx>
        <c:axId val="7040281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70405504"/>
        <c:crosses val="max"/>
        <c:crossBetween val="between"/>
      </c:valAx>
      <c:dateAx>
        <c:axId val="70405504"/>
        <c:scaling>
          <c:orientation val="minMax"/>
        </c:scaling>
        <c:delete val="1"/>
        <c:axPos val="b"/>
        <c:numFmt formatCode="mmm-yy" sourceLinked="1"/>
        <c:tickLblPos val="none"/>
        <c:crossAx val="7040281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9171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Belchertown</a:t>
            </a:r>
            <a:r>
              <a:rPr lang="en-US" sz="1200" baseline="0"/>
              <a:t> Single Family Electrical Consumption &amp; PV Production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523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Elec!$A$21:$A$39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Elec!$D$21:$D$39</c:f>
              <c:numCache>
                <c:formatCode>General</c:formatCode>
                <c:ptCount val="19"/>
                <c:pt idx="0">
                  <c:v>311</c:v>
                </c:pt>
                <c:pt idx="1">
                  <c:v>282</c:v>
                </c:pt>
                <c:pt idx="2">
                  <c:v>266</c:v>
                </c:pt>
                <c:pt idx="3">
                  <c:v>318</c:v>
                </c:pt>
                <c:pt idx="4">
                  <c:v>266</c:v>
                </c:pt>
                <c:pt idx="5">
                  <c:v>169</c:v>
                </c:pt>
                <c:pt idx="6">
                  <c:v>147</c:v>
                </c:pt>
                <c:pt idx="7">
                  <c:v>119</c:v>
                </c:pt>
                <c:pt idx="8">
                  <c:v>128</c:v>
                </c:pt>
                <c:pt idx="9">
                  <c:v>149</c:v>
                </c:pt>
                <c:pt idx="10">
                  <c:v>171</c:v>
                </c:pt>
                <c:pt idx="11">
                  <c:v>166</c:v>
                </c:pt>
                <c:pt idx="12">
                  <c:v>255</c:v>
                </c:pt>
                <c:pt idx="13">
                  <c:v>176</c:v>
                </c:pt>
                <c:pt idx="14">
                  <c:v>160</c:v>
                </c:pt>
                <c:pt idx="15">
                  <c:v>158</c:v>
                </c:pt>
                <c:pt idx="16">
                  <c:v>120</c:v>
                </c:pt>
                <c:pt idx="17">
                  <c:v>126</c:v>
                </c:pt>
                <c:pt idx="18">
                  <c:v>145</c:v>
                </c:pt>
              </c:numCache>
            </c:numRef>
          </c:val>
        </c:ser>
        <c:gapWidth val="202"/>
        <c:overlap val="100"/>
        <c:axId val="70629248"/>
        <c:axId val="70736512"/>
      </c:barChart>
      <c:lineChart>
        <c:grouping val="standard"/>
        <c:ser>
          <c:idx val="2"/>
          <c:order val="1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Elec!$A$21:$A$26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Elec!$F$21:$F$39</c:f>
              <c:numCache>
                <c:formatCode>General</c:formatCode>
                <c:ptCount val="19"/>
                <c:pt idx="0">
                  <c:v>1309</c:v>
                </c:pt>
                <c:pt idx="1">
                  <c:v>1080</c:v>
                </c:pt>
                <c:pt idx="2">
                  <c:v>883</c:v>
                </c:pt>
                <c:pt idx="3">
                  <c:v>471</c:v>
                </c:pt>
                <c:pt idx="4">
                  <c:v>189</c:v>
                </c:pt>
                <c:pt idx="5">
                  <c:v>69</c:v>
                </c:pt>
                <c:pt idx="6">
                  <c:v>16</c:v>
                </c:pt>
                <c:pt idx="7">
                  <c:v>34</c:v>
                </c:pt>
                <c:pt idx="8">
                  <c:v>87</c:v>
                </c:pt>
                <c:pt idx="9">
                  <c:v>429</c:v>
                </c:pt>
                <c:pt idx="10">
                  <c:v>610</c:v>
                </c:pt>
                <c:pt idx="11">
                  <c:v>906</c:v>
                </c:pt>
                <c:pt idx="12">
                  <c:v>1071</c:v>
                </c:pt>
                <c:pt idx="13">
                  <c:v>890</c:v>
                </c:pt>
                <c:pt idx="14">
                  <c:v>626</c:v>
                </c:pt>
                <c:pt idx="15">
                  <c:v>441</c:v>
                </c:pt>
                <c:pt idx="16">
                  <c:v>160</c:v>
                </c:pt>
                <c:pt idx="17">
                  <c:v>87</c:v>
                </c:pt>
                <c:pt idx="18">
                  <c:v>15</c:v>
                </c:pt>
              </c:numCache>
            </c:numRef>
          </c:val>
        </c:ser>
        <c:marker val="1"/>
        <c:axId val="70629248"/>
        <c:axId val="70736512"/>
      </c:lineChart>
      <c:lineChart>
        <c:grouping val="standard"/>
        <c:ser>
          <c:idx val="3"/>
          <c:order val="2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Elec!$A$21:$A$26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Elec!$G$21:$G$39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86</c:v>
                </c:pt>
                <c:pt idx="5">
                  <c:v>157</c:v>
                </c:pt>
                <c:pt idx="6">
                  <c:v>329</c:v>
                </c:pt>
                <c:pt idx="7">
                  <c:v>215</c:v>
                </c:pt>
                <c:pt idx="8">
                  <c:v>115</c:v>
                </c:pt>
                <c:pt idx="9">
                  <c:v>17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27</c:v>
                </c:pt>
                <c:pt idx="16">
                  <c:v>104</c:v>
                </c:pt>
                <c:pt idx="17">
                  <c:v>162</c:v>
                </c:pt>
                <c:pt idx="18">
                  <c:v>333</c:v>
                </c:pt>
              </c:numCache>
            </c:numRef>
          </c:val>
        </c:ser>
        <c:marker val="1"/>
        <c:axId val="71681536"/>
        <c:axId val="70763264"/>
      </c:lineChart>
      <c:dateAx>
        <c:axId val="70629248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70736512"/>
        <c:crosses val="autoZero"/>
        <c:auto val="1"/>
        <c:lblOffset val="100"/>
        <c:baseTimeUnit val="months"/>
      </c:dateAx>
      <c:valAx>
        <c:axId val="707365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General" sourceLinked="1"/>
        <c:tickLblPos val="nextTo"/>
        <c:crossAx val="70629248"/>
        <c:crosses val="autoZero"/>
        <c:crossBetween val="between"/>
        <c:majorUnit val="200"/>
      </c:valAx>
      <c:valAx>
        <c:axId val="70763264"/>
        <c:scaling>
          <c:orientation val="minMax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layout/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71681536"/>
        <c:crosses val="max"/>
        <c:crossBetween val="between"/>
        <c:majorUnit val="20"/>
      </c:valAx>
      <c:dateAx>
        <c:axId val="71681536"/>
        <c:scaling>
          <c:orientation val="minMax"/>
        </c:scaling>
        <c:delete val="1"/>
        <c:axPos val="b"/>
        <c:numFmt formatCode="mmm-yy" sourceLinked="1"/>
        <c:tickLblPos val="none"/>
        <c:crossAx val="70763264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63"/>
          <c:y val="0.82399778974995863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54396325459316"/>
          <c:y val="3.4028059196183534E-2"/>
          <c:w val="0.73063429571303584"/>
          <c:h val="0.6533511161267721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Use'!$J$31:$J$42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Use'!$X$31:$X$42</c:f>
              <c:numCache>
                <c:formatCode>0.00</c:formatCode>
                <c:ptCount val="12"/>
                <c:pt idx="0">
                  <c:v>2.1811597772764912</c:v>
                </c:pt>
                <c:pt idx="1">
                  <c:v>2.4281086889913155</c:v>
                </c:pt>
                <c:pt idx="2">
                  <c:v>3.8786343315813157</c:v>
                </c:pt>
                <c:pt idx="3">
                  <c:v>5.3728376383345502</c:v>
                </c:pt>
                <c:pt idx="4">
                  <c:v>7.0925157284244893</c:v>
                </c:pt>
                <c:pt idx="5">
                  <c:v>9.1531326203632641</c:v>
                </c:pt>
                <c:pt idx="6">
                  <c:v>7.2876795212285712</c:v>
                </c:pt>
                <c:pt idx="7">
                  <c:v>5.1629458688000005</c:v>
                </c:pt>
                <c:pt idx="8">
                  <c:v>3.4681272622171431</c:v>
                </c:pt>
                <c:pt idx="9">
                  <c:v>1.9920767410285711</c:v>
                </c:pt>
                <c:pt idx="10">
                  <c:v>2.081278139062857</c:v>
                </c:pt>
                <c:pt idx="11">
                  <c:v>2.297867119062857</c:v>
                </c:pt>
              </c:numCache>
            </c:numRef>
          </c:val>
        </c:ser>
        <c:axId val="75007872"/>
        <c:axId val="69644288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HDD!$B$32:$B$43</c:f>
              <c:numCache>
                <c:formatCode>General</c:formatCode>
                <c:ptCount val="12"/>
                <c:pt idx="0">
                  <c:v>34</c:v>
                </c:pt>
                <c:pt idx="1">
                  <c:v>87</c:v>
                </c:pt>
                <c:pt idx="2">
                  <c:v>429</c:v>
                </c:pt>
                <c:pt idx="3">
                  <c:v>610</c:v>
                </c:pt>
                <c:pt idx="4">
                  <c:v>906</c:v>
                </c:pt>
                <c:pt idx="5">
                  <c:v>1071</c:v>
                </c:pt>
                <c:pt idx="6">
                  <c:v>890</c:v>
                </c:pt>
                <c:pt idx="7">
                  <c:v>626</c:v>
                </c:pt>
                <c:pt idx="8">
                  <c:v>441</c:v>
                </c:pt>
                <c:pt idx="9">
                  <c:v>160</c:v>
                </c:pt>
                <c:pt idx="10">
                  <c:v>87</c:v>
                </c:pt>
                <c:pt idx="11">
                  <c:v>15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CDD!$B$32:$B$43</c:f>
              <c:numCache>
                <c:formatCode>General</c:formatCode>
                <c:ptCount val="12"/>
                <c:pt idx="0">
                  <c:v>215</c:v>
                </c:pt>
                <c:pt idx="1">
                  <c:v>115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27</c:v>
                </c:pt>
                <c:pt idx="9">
                  <c:v>104</c:v>
                </c:pt>
                <c:pt idx="10">
                  <c:v>162</c:v>
                </c:pt>
                <c:pt idx="11">
                  <c:v>333</c:v>
                </c:pt>
              </c:numCache>
            </c:numRef>
          </c:val>
        </c:ser>
        <c:marker val="1"/>
        <c:axId val="69646976"/>
        <c:axId val="69645440"/>
      </c:lineChart>
      <c:dateAx>
        <c:axId val="75007872"/>
        <c:scaling>
          <c:orientation val="minMax"/>
        </c:scaling>
        <c:axPos val="b"/>
        <c:numFmt formatCode="mmm-yy" sourceLinked="1"/>
        <c:tickLblPos val="nextTo"/>
        <c:crossAx val="69644288"/>
        <c:crosses val="autoZero"/>
        <c:auto val="1"/>
        <c:lblOffset val="100"/>
      </c:dateAx>
      <c:valAx>
        <c:axId val="69644288"/>
        <c:scaling>
          <c:orientation val="minMax"/>
        </c:scaling>
        <c:axPos val="l"/>
        <c:majorGridlines/>
        <c:numFmt formatCode="0" sourceLinked="0"/>
        <c:tickLblPos val="nextTo"/>
        <c:crossAx val="75007872"/>
        <c:crosses val="autoZero"/>
        <c:crossBetween val="between"/>
      </c:valAx>
      <c:valAx>
        <c:axId val="69645440"/>
        <c:scaling>
          <c:orientation val="minMax"/>
        </c:scaling>
        <c:axPos val="r"/>
        <c:numFmt formatCode="General" sourceLinked="1"/>
        <c:tickLblPos val="nextTo"/>
        <c:crossAx val="69646976"/>
        <c:crosses val="max"/>
        <c:crossBetween val="between"/>
      </c:valAx>
      <c:catAx>
        <c:axId val="69646976"/>
        <c:scaling>
          <c:orientation val="minMax"/>
        </c:scaling>
        <c:delete val="1"/>
        <c:axPos val="b"/>
        <c:tickLblPos val="none"/>
        <c:crossAx val="6964544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Propane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'Weather Lin Regr Analysis'!$G$9:$G$20</c:f>
              <c:numCache>
                <c:formatCode>General</c:formatCode>
                <c:ptCount val="12"/>
                <c:pt idx="0">
                  <c:v>33</c:v>
                </c:pt>
                <c:pt idx="1">
                  <c:v>98</c:v>
                </c:pt>
                <c:pt idx="2">
                  <c:v>407</c:v>
                </c:pt>
                <c:pt idx="3">
                  <c:v>708</c:v>
                </c:pt>
                <c:pt idx="4">
                  <c:v>1130</c:v>
                </c:pt>
                <c:pt idx="5">
                  <c:v>1309</c:v>
                </c:pt>
                <c:pt idx="6">
                  <c:v>1080</c:v>
                </c:pt>
                <c:pt idx="7">
                  <c:v>883</c:v>
                </c:pt>
                <c:pt idx="8">
                  <c:v>471</c:v>
                </c:pt>
                <c:pt idx="9">
                  <c:v>189</c:v>
                </c:pt>
                <c:pt idx="10">
                  <c:v>69</c:v>
                </c:pt>
                <c:pt idx="11">
                  <c:v>16</c:v>
                </c:pt>
              </c:numCache>
            </c:numRef>
          </c:xVal>
          <c:yVal>
            <c:numRef>
              <c:f>'Weather Lin Regr Analysis'!$E$9:$E$20</c:f>
              <c:numCache>
                <c:formatCode>0.00</c:formatCode>
                <c:ptCount val="12"/>
                <c:pt idx="0">
                  <c:v>0.81646415571929831</c:v>
                </c:pt>
                <c:pt idx="1">
                  <c:v>0.95938903860526314</c:v>
                </c:pt>
                <c:pt idx="2">
                  <c:v>2.1585353976052635</c:v>
                </c:pt>
                <c:pt idx="3">
                  <c:v>3.3896404141926242</c:v>
                </c:pt>
                <c:pt idx="4">
                  <c:v>5.148724760816326</c:v>
                </c:pt>
                <c:pt idx="5">
                  <c:v>6.1844361587755099</c:v>
                </c:pt>
                <c:pt idx="6">
                  <c:v>5.2290906942857145</c:v>
                </c:pt>
                <c:pt idx="7">
                  <c:v>3.3059788800000005</c:v>
                </c:pt>
                <c:pt idx="8">
                  <c:v>1.6505137645714287</c:v>
                </c:pt>
                <c:pt idx="9">
                  <c:v>0.61796667428571428</c:v>
                </c:pt>
                <c:pt idx="10">
                  <c:v>0.6385655634285714</c:v>
                </c:pt>
                <c:pt idx="11">
                  <c:v>0.6385655634285714</c:v>
                </c:pt>
              </c:numCache>
            </c:numRef>
          </c:yVal>
        </c:ser>
        <c:axId val="70417024"/>
        <c:axId val="70447488"/>
      </c:scatterChart>
      <c:valAx>
        <c:axId val="70417024"/>
        <c:scaling>
          <c:orientation val="minMax"/>
        </c:scaling>
        <c:axPos val="b"/>
        <c:numFmt formatCode="General" sourceLinked="1"/>
        <c:tickLblPos val="nextTo"/>
        <c:crossAx val="70447488"/>
        <c:crosses val="autoZero"/>
        <c:crossBetween val="midCat"/>
      </c:valAx>
      <c:valAx>
        <c:axId val="70447488"/>
        <c:scaling>
          <c:orientation val="minMax"/>
        </c:scaling>
        <c:axPos val="l"/>
        <c:majorGridlines/>
        <c:numFmt formatCode="0.00" sourceLinked="1"/>
        <c:tickLblPos val="nextTo"/>
        <c:crossAx val="704170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533400</xdr:colOff>
      <xdr:row>65</xdr:row>
      <xdr:rowOff>9525</xdr:rowOff>
    </xdr:from>
    <xdr:to>
      <xdr:col>26</xdr:col>
      <xdr:colOff>228600</xdr:colOff>
      <xdr:row>79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175260</xdr:rowOff>
    </xdr:from>
    <xdr:to>
      <xdr:col>15</xdr:col>
      <xdr:colOff>213360</xdr:colOff>
      <xdr:row>34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36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55</xdr:row>
      <xdr:rowOff>190499</xdr:rowOff>
    </xdr:from>
    <xdr:to>
      <xdr:col>10</xdr:col>
      <xdr:colOff>523875</xdr:colOff>
      <xdr:row>71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0.00208</cdr:x>
      <cdr:y>0</cdr:y>
    </cdr:from>
    <cdr:to>
      <cdr:x>0.06667</cdr:x>
      <cdr:y>0.73958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857246" y="866775"/>
          <a:ext cx="202882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MMBtu</a:t>
          </a:r>
          <a:r>
            <a:rPr lang="en-US" sz="1000" b="1" baseline="0"/>
            <a:t> (monthly)</a:t>
          </a:r>
          <a:endParaRPr lang="en-US" sz="1000" b="1"/>
        </a:p>
      </cdr:txBody>
    </cdr:sp>
  </cdr:relSizeAnchor>
  <cdr:relSizeAnchor xmlns:cdr="http://schemas.openxmlformats.org/drawingml/2006/chartDrawing">
    <cdr:from>
      <cdr:x>0.92708</cdr:x>
      <cdr:y>0.16124</cdr:y>
    </cdr:from>
    <cdr:to>
      <cdr:x>0.99375</cdr:x>
      <cdr:y>0.56189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3805239" y="904874"/>
          <a:ext cx="1171575" cy="30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 &amp; CDD (65F)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24</xdr:row>
      <xdr:rowOff>142875</xdr:rowOff>
    </xdr:from>
    <xdr:to>
      <xdr:col>14</xdr:col>
      <xdr:colOff>600075</xdr:colOff>
      <xdr:row>39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E102"/>
  <sheetViews>
    <sheetView topLeftCell="F35" workbookViewId="0">
      <selection activeCell="Z47" sqref="Z47"/>
    </sheetView>
  </sheetViews>
  <sheetFormatPr defaultRowHeight="15"/>
  <cols>
    <col min="1" max="1" width="10.42578125" style="9" bestFit="1" customWidth="1"/>
    <col min="2" max="2" width="11.5703125" style="9" bestFit="1" customWidth="1"/>
    <col min="3" max="5" width="9.140625" style="9"/>
    <col min="6" max="6" width="10.42578125" style="9" bestFit="1" customWidth="1"/>
    <col min="7" max="16384" width="9.140625" style="9"/>
  </cols>
  <sheetData>
    <row r="4" spans="1:26">
      <c r="B4" s="9" t="s">
        <v>43</v>
      </c>
      <c r="F4" s="19"/>
      <c r="G4" s="19"/>
      <c r="H4" s="19"/>
      <c r="I4" s="19"/>
      <c r="J4" s="19"/>
      <c r="K4" s="19"/>
    </row>
    <row r="5" spans="1:26">
      <c r="A5" s="9" t="s">
        <v>44</v>
      </c>
      <c r="B5" s="9" t="s">
        <v>45</v>
      </c>
      <c r="D5" s="9" t="s">
        <v>33</v>
      </c>
      <c r="F5" s="19"/>
      <c r="G5" s="26" t="s">
        <v>52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  <c r="T5" s="26" t="s">
        <v>123</v>
      </c>
      <c r="U5" s="16"/>
      <c r="V5" s="16"/>
      <c r="W5" s="16"/>
      <c r="X5" s="16"/>
      <c r="Y5" s="16"/>
      <c r="Z5" s="17"/>
    </row>
    <row r="6" spans="1:26">
      <c r="A6" s="1">
        <v>39703</v>
      </c>
      <c r="B6" s="3">
        <v>18.100000000000001</v>
      </c>
      <c r="F6" s="19"/>
      <c r="G6" s="28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  <c r="T6" s="28" t="s">
        <v>50</v>
      </c>
      <c r="U6" s="19"/>
      <c r="V6" s="19"/>
      <c r="W6" s="19"/>
      <c r="X6" s="19"/>
      <c r="Y6" s="19"/>
      <c r="Z6" s="20"/>
    </row>
    <row r="7" spans="1:26">
      <c r="A7" s="1">
        <v>39797</v>
      </c>
      <c r="B7" s="9">
        <v>24.8</v>
      </c>
      <c r="D7" s="9">
        <f>B7/(A7-A6)</f>
        <v>0.26382978723404255</v>
      </c>
      <c r="F7" s="19"/>
      <c r="G7" s="28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T7" s="28" t="s">
        <v>48</v>
      </c>
      <c r="U7" s="19"/>
      <c r="V7" s="19" t="s">
        <v>49</v>
      </c>
      <c r="W7" s="19"/>
      <c r="X7" s="19"/>
      <c r="Y7" s="19"/>
      <c r="Z7" s="20"/>
    </row>
    <row r="8" spans="1:26">
      <c r="A8" s="1">
        <v>39861</v>
      </c>
      <c r="B8" s="9">
        <v>40.700000000000003</v>
      </c>
      <c r="D8" s="9">
        <f t="shared" ref="D8:D27" si="0">B8/(A8-A7)</f>
        <v>0.63593750000000004</v>
      </c>
      <c r="F8" s="19"/>
      <c r="G8" s="28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  <c r="T8" s="26" t="s">
        <v>53</v>
      </c>
      <c r="U8" s="16"/>
      <c r="V8" s="17"/>
      <c r="W8" s="19"/>
      <c r="X8" s="19"/>
      <c r="Y8" s="19"/>
      <c r="Z8" s="20"/>
    </row>
    <row r="9" spans="1:26">
      <c r="A9" s="1">
        <v>39917</v>
      </c>
      <c r="B9" s="9">
        <v>32.700000000000003</v>
      </c>
      <c r="D9" s="9">
        <f t="shared" si="0"/>
        <v>0.58392857142857146</v>
      </c>
      <c r="F9" s="19"/>
      <c r="G9" s="18">
        <v>39660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T9" s="15">
        <v>39622</v>
      </c>
      <c r="U9" s="16"/>
      <c r="V9" s="17"/>
      <c r="W9" s="29"/>
      <c r="X9" s="19"/>
      <c r="Y9" s="19"/>
      <c r="Z9" s="20"/>
    </row>
    <row r="10" spans="1:26">
      <c r="A10" s="1">
        <v>39975</v>
      </c>
      <c r="B10" s="9">
        <v>30.1</v>
      </c>
      <c r="D10" s="9">
        <f t="shared" si="0"/>
        <v>0.51896551724137929</v>
      </c>
      <c r="F10" s="19"/>
      <c r="G10" s="18">
        <v>39691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T10" s="18">
        <v>39652</v>
      </c>
      <c r="U10" s="19"/>
      <c r="V10" s="20">
        <v>40</v>
      </c>
      <c r="W10" s="29"/>
      <c r="X10" s="19"/>
      <c r="Y10" s="19"/>
      <c r="Z10" s="20"/>
    </row>
    <row r="11" spans="1:26">
      <c r="A11" s="1">
        <v>40206</v>
      </c>
      <c r="B11" s="9">
        <v>79.900000000000006</v>
      </c>
      <c r="D11" s="9">
        <f t="shared" si="0"/>
        <v>0.34588744588744591</v>
      </c>
      <c r="F11" s="19"/>
      <c r="G11" s="18">
        <v>39721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T11" s="18">
        <v>39683</v>
      </c>
      <c r="U11" s="19"/>
      <c r="V11" s="20">
        <v>41</v>
      </c>
      <c r="W11" s="29"/>
      <c r="X11" s="19"/>
      <c r="Y11" s="19"/>
      <c r="Z11" s="20"/>
    </row>
    <row r="12" spans="1:26">
      <c r="A12" s="1">
        <v>40253</v>
      </c>
      <c r="B12" s="9">
        <v>102.2</v>
      </c>
      <c r="D12" s="9">
        <f t="shared" si="0"/>
        <v>2.1744680851063829</v>
      </c>
      <c r="F12" s="19"/>
      <c r="G12" s="18">
        <v>39752</v>
      </c>
      <c r="H12" s="19">
        <f>D7*(G12-G11)</f>
        <v>8.1787234042553187</v>
      </c>
      <c r="I12" s="19"/>
      <c r="J12" s="19"/>
      <c r="K12" s="19"/>
      <c r="L12" s="19"/>
      <c r="M12" s="19"/>
      <c r="N12" s="19"/>
      <c r="O12" s="19"/>
      <c r="P12" s="19"/>
      <c r="Q12" s="19"/>
      <c r="R12" s="20"/>
      <c r="T12" s="18">
        <v>39714</v>
      </c>
      <c r="U12" s="19"/>
      <c r="V12" s="20">
        <v>29</v>
      </c>
      <c r="W12" s="29"/>
      <c r="X12" s="19"/>
      <c r="Y12" s="19"/>
      <c r="Z12" s="20"/>
    </row>
    <row r="13" spans="1:26">
      <c r="A13" s="1">
        <v>40317</v>
      </c>
      <c r="B13" s="9">
        <v>43.7</v>
      </c>
      <c r="D13" s="9">
        <f t="shared" si="0"/>
        <v>0.68281250000000004</v>
      </c>
      <c r="F13" s="19"/>
      <c r="G13" s="18">
        <v>39782</v>
      </c>
      <c r="H13" s="19">
        <f>D7*(G13-G12)</f>
        <v>7.914893617021276</v>
      </c>
      <c r="I13" s="19"/>
      <c r="J13" s="19"/>
      <c r="K13" s="19"/>
      <c r="L13" s="19"/>
      <c r="M13" s="19"/>
      <c r="N13" s="19"/>
      <c r="O13" s="19"/>
      <c r="P13" s="19"/>
      <c r="Q13" s="19"/>
      <c r="R13" s="20"/>
      <c r="T13" s="18">
        <v>39744</v>
      </c>
      <c r="U13" s="19"/>
      <c r="V13" s="20">
        <v>36</v>
      </c>
      <c r="W13" s="29"/>
      <c r="X13" s="19"/>
      <c r="Y13" s="19"/>
      <c r="Z13" s="20"/>
    </row>
    <row r="14" spans="1:26">
      <c r="A14" s="1">
        <v>40381</v>
      </c>
      <c r="B14" s="9">
        <v>11.3</v>
      </c>
      <c r="D14" s="9">
        <f t="shared" si="0"/>
        <v>0.17656250000000001</v>
      </c>
      <c r="F14" s="19"/>
      <c r="G14" s="18">
        <v>39813</v>
      </c>
      <c r="H14" s="19">
        <f>D7*(A7-G13)+D8*(G14-A7)</f>
        <v>14.13244680851064</v>
      </c>
      <c r="I14" s="19"/>
      <c r="J14" s="19"/>
      <c r="K14" s="19"/>
      <c r="L14" s="19"/>
      <c r="M14" s="19"/>
      <c r="N14" s="19"/>
      <c r="O14" s="19"/>
      <c r="P14" s="19"/>
      <c r="Q14" s="19"/>
      <c r="R14" s="20"/>
      <c r="T14" s="18">
        <v>39775</v>
      </c>
      <c r="U14" s="19"/>
      <c r="V14" s="20">
        <v>14</v>
      </c>
      <c r="W14" s="29"/>
      <c r="X14" s="19"/>
      <c r="Y14" s="19"/>
      <c r="Z14" s="20"/>
    </row>
    <row r="15" spans="1:26">
      <c r="A15" s="1">
        <v>40471</v>
      </c>
      <c r="B15" s="9">
        <v>34</v>
      </c>
      <c r="D15" s="9">
        <f t="shared" si="0"/>
        <v>0.37777777777777777</v>
      </c>
      <c r="F15" s="19"/>
      <c r="G15" s="18">
        <v>39844</v>
      </c>
      <c r="H15" s="19">
        <f>D8*(G15-G14)</f>
        <v>19.714062500000001</v>
      </c>
      <c r="I15" s="19"/>
      <c r="J15" s="19"/>
      <c r="K15" s="19"/>
      <c r="L15" s="19"/>
      <c r="M15" s="19"/>
      <c r="N15" s="19"/>
      <c r="O15" s="19"/>
      <c r="P15" s="19"/>
      <c r="Q15" s="19"/>
      <c r="R15" s="20"/>
      <c r="T15" s="18">
        <v>39805</v>
      </c>
      <c r="U15" s="19"/>
      <c r="V15" s="20">
        <v>54</v>
      </c>
      <c r="W15" s="29"/>
      <c r="X15" s="19"/>
      <c r="Y15" s="19"/>
      <c r="Z15" s="20"/>
    </row>
    <row r="16" spans="1:26">
      <c r="A16" s="1">
        <v>40527</v>
      </c>
      <c r="B16" s="9">
        <v>86</v>
      </c>
      <c r="D16" s="9">
        <f t="shared" si="0"/>
        <v>1.5357142857142858</v>
      </c>
      <c r="F16" s="19"/>
      <c r="G16" s="18">
        <v>39872</v>
      </c>
      <c r="H16" s="19">
        <f>D9*(G16-A8)+D8*(A8-G15)</f>
        <v>17.234151785714289</v>
      </c>
      <c r="I16" s="19"/>
      <c r="J16" s="19"/>
      <c r="K16" s="19"/>
      <c r="L16" s="19"/>
      <c r="M16" s="19"/>
      <c r="N16" s="19"/>
      <c r="O16" s="19"/>
      <c r="P16" s="19"/>
      <c r="Q16" s="19"/>
      <c r="R16" s="20"/>
      <c r="T16" s="18">
        <v>39836</v>
      </c>
      <c r="U16" s="19"/>
      <c r="V16" s="20">
        <v>898</v>
      </c>
      <c r="W16" s="29"/>
      <c r="X16" s="19"/>
      <c r="Y16" s="19"/>
      <c r="Z16" s="20"/>
    </row>
    <row r="17" spans="1:26">
      <c r="A17" s="1">
        <v>40561</v>
      </c>
      <c r="B17" s="9">
        <v>84</v>
      </c>
      <c r="D17" s="9">
        <f t="shared" si="0"/>
        <v>2.4705882352941178</v>
      </c>
      <c r="F17" s="19"/>
      <c r="G17" s="18">
        <v>39903</v>
      </c>
      <c r="H17" s="19">
        <f>D9*(G17-G16)</f>
        <v>18.101785714285715</v>
      </c>
      <c r="I17" s="19"/>
      <c r="J17" s="19"/>
      <c r="K17" s="19"/>
      <c r="L17" s="19"/>
      <c r="M17" s="19"/>
      <c r="N17" s="19"/>
      <c r="O17" s="19"/>
      <c r="P17" s="19"/>
      <c r="Q17" s="19"/>
      <c r="R17" s="20"/>
      <c r="T17" s="18">
        <v>39867</v>
      </c>
      <c r="U17" s="19"/>
      <c r="V17" s="20">
        <v>687</v>
      </c>
      <c r="W17" s="29"/>
      <c r="X17" s="19"/>
      <c r="Y17" s="19"/>
      <c r="Z17" s="20"/>
    </row>
    <row r="18" spans="1:26">
      <c r="A18" s="1">
        <v>40589</v>
      </c>
      <c r="B18" s="9">
        <v>65</v>
      </c>
      <c r="D18" s="9">
        <f t="shared" si="0"/>
        <v>2.3214285714285716</v>
      </c>
      <c r="F18" s="19"/>
      <c r="G18" s="18">
        <v>39933</v>
      </c>
      <c r="H18" s="19">
        <f>D10*(G18-A9)+D9*(A9-G17)</f>
        <v>16.478448275862071</v>
      </c>
      <c r="I18" s="19"/>
      <c r="J18" s="19"/>
      <c r="K18" s="19"/>
      <c r="L18" s="19"/>
      <c r="M18" s="19"/>
      <c r="N18" s="19"/>
      <c r="O18" s="19"/>
      <c r="P18" s="19"/>
      <c r="Q18" s="19"/>
      <c r="R18" s="20"/>
      <c r="T18" s="18">
        <v>39897</v>
      </c>
      <c r="U18" s="19"/>
      <c r="V18" s="20">
        <v>93</v>
      </c>
      <c r="W18" s="29"/>
      <c r="X18" s="19"/>
      <c r="Y18" s="19"/>
      <c r="Z18" s="20"/>
    </row>
    <row r="19" spans="1:26">
      <c r="A19" s="1">
        <v>40625</v>
      </c>
      <c r="B19" s="9">
        <v>62.2</v>
      </c>
      <c r="D19" s="9">
        <f t="shared" si="0"/>
        <v>1.7277777777777779</v>
      </c>
      <c r="F19" s="19"/>
      <c r="G19" s="18">
        <v>39964</v>
      </c>
      <c r="H19" s="19">
        <f>D10*(G19-G18)</f>
        <v>16.087931034482757</v>
      </c>
      <c r="I19" s="19"/>
      <c r="J19" s="19"/>
      <c r="K19" s="19"/>
      <c r="L19" s="19"/>
      <c r="M19" s="19"/>
      <c r="N19" s="19"/>
      <c r="O19" s="19"/>
      <c r="P19" s="19"/>
      <c r="Q19" s="19"/>
      <c r="R19" s="20"/>
      <c r="T19" s="18">
        <v>39925</v>
      </c>
      <c r="U19" s="19"/>
      <c r="V19" s="20">
        <v>73</v>
      </c>
      <c r="W19" s="29"/>
      <c r="X19" s="19"/>
      <c r="Y19" s="19"/>
      <c r="Z19" s="20"/>
    </row>
    <row r="20" spans="1:26">
      <c r="A20" s="1">
        <v>40669</v>
      </c>
      <c r="B20" s="9">
        <v>38.4</v>
      </c>
      <c r="D20" s="9">
        <f t="shared" si="0"/>
        <v>0.87272727272727268</v>
      </c>
      <c r="F20" s="19"/>
      <c r="G20" s="18">
        <v>39994</v>
      </c>
      <c r="H20" s="19">
        <f>D11*(G20-A10)+D10*(A10-G19)</f>
        <v>12.280482161516645</v>
      </c>
      <c r="I20" s="19"/>
      <c r="J20" s="19"/>
      <c r="K20" s="19"/>
      <c r="L20" s="19"/>
      <c r="M20" s="19"/>
      <c r="N20" s="19"/>
      <c r="O20" s="19"/>
      <c r="P20" s="19"/>
      <c r="Q20" s="19"/>
      <c r="R20" s="20"/>
      <c r="T20" s="18">
        <v>39955</v>
      </c>
      <c r="U20" s="19"/>
      <c r="V20" s="20">
        <v>68</v>
      </c>
      <c r="W20" s="29"/>
      <c r="X20" s="19"/>
      <c r="Y20" s="19"/>
      <c r="Z20" s="20"/>
    </row>
    <row r="21" spans="1:26">
      <c r="A21" s="1">
        <v>40757</v>
      </c>
      <c r="B21" s="9">
        <v>20.6</v>
      </c>
      <c r="D21" s="9">
        <f t="shared" si="0"/>
        <v>0.2340909090909091</v>
      </c>
      <c r="F21" s="19"/>
      <c r="G21" s="18">
        <v>40025</v>
      </c>
      <c r="H21" s="19">
        <f>D11*(G21-G20)</f>
        <v>10.722510822510824</v>
      </c>
      <c r="I21" s="19"/>
      <c r="J21" s="19"/>
      <c r="K21" s="19"/>
      <c r="L21" s="19"/>
      <c r="M21" s="19"/>
      <c r="N21" s="19"/>
      <c r="O21" s="19"/>
      <c r="P21" s="19"/>
      <c r="Q21" s="19"/>
      <c r="R21" s="20"/>
      <c r="T21" s="21">
        <v>39988</v>
      </c>
      <c r="U21" s="22"/>
      <c r="V21" s="23">
        <v>46</v>
      </c>
      <c r="W21" s="29"/>
      <c r="X21" s="19"/>
      <c r="Y21" s="19"/>
      <c r="Z21" s="20"/>
    </row>
    <row r="22" spans="1:26">
      <c r="A22" s="1">
        <v>40865</v>
      </c>
      <c r="B22" s="9">
        <v>57.7</v>
      </c>
      <c r="D22" s="9">
        <f t="shared" si="0"/>
        <v>0.53425925925925932</v>
      </c>
      <c r="F22" s="19"/>
      <c r="G22" s="18">
        <v>40056</v>
      </c>
      <c r="H22" s="19">
        <f>D11*(G22-G21)</f>
        <v>10.722510822510824</v>
      </c>
      <c r="I22" s="19"/>
      <c r="J22" s="19"/>
      <c r="K22" s="19"/>
      <c r="L22" s="19"/>
      <c r="M22" s="19"/>
      <c r="N22" s="19"/>
      <c r="O22" s="19"/>
      <c r="P22" s="19"/>
      <c r="Q22" s="19"/>
      <c r="R22" s="20"/>
      <c r="T22" s="15" t="s">
        <v>54</v>
      </c>
      <c r="U22" s="16"/>
      <c r="V22" s="27"/>
      <c r="W22" s="29"/>
      <c r="X22" s="19"/>
      <c r="Y22" s="19"/>
      <c r="Z22" s="20"/>
    </row>
    <row r="23" spans="1:26">
      <c r="A23" s="1">
        <v>40914</v>
      </c>
      <c r="B23" s="9">
        <v>88.8</v>
      </c>
      <c r="D23" s="9">
        <f t="shared" si="0"/>
        <v>1.8122448979591836</v>
      </c>
      <c r="F23" s="19"/>
      <c r="G23" s="18">
        <v>40086</v>
      </c>
      <c r="H23" s="19">
        <f>D11*(G23-G22)</f>
        <v>10.376623376623378</v>
      </c>
      <c r="I23" s="19"/>
      <c r="J23" s="19"/>
      <c r="K23" s="19"/>
      <c r="L23" s="19" t="s">
        <v>56</v>
      </c>
      <c r="M23" s="19">
        <f>SUM(H12:H23)</f>
        <v>161.94457032329373</v>
      </c>
      <c r="N23" s="19"/>
      <c r="O23" s="19"/>
      <c r="P23" s="19"/>
      <c r="Q23" s="19"/>
      <c r="R23" s="20"/>
      <c r="T23" s="15">
        <v>40025</v>
      </c>
      <c r="U23" s="16"/>
      <c r="V23" s="27">
        <v>43</v>
      </c>
      <c r="W23" s="29"/>
      <c r="X23" s="19"/>
      <c r="Y23" s="19"/>
      <c r="Z23" s="20"/>
    </row>
    <row r="24" spans="1:26">
      <c r="A24" s="1">
        <v>40942</v>
      </c>
      <c r="B24" s="9">
        <v>63.4</v>
      </c>
      <c r="D24" s="9">
        <f t="shared" si="0"/>
        <v>2.2642857142857142</v>
      </c>
      <c r="F24" s="19"/>
      <c r="G24" s="18">
        <v>40117</v>
      </c>
      <c r="H24" s="19">
        <f>D11*(G24-G23)</f>
        <v>10.722510822510824</v>
      </c>
      <c r="I24" s="19"/>
      <c r="J24" s="19"/>
      <c r="K24" s="19"/>
      <c r="L24" s="19"/>
      <c r="M24" s="19"/>
      <c r="N24" s="19"/>
      <c r="O24" s="19"/>
      <c r="P24" s="19"/>
      <c r="Q24" s="19"/>
      <c r="R24" s="20"/>
      <c r="T24" s="18">
        <v>40056</v>
      </c>
      <c r="U24" s="19"/>
      <c r="V24" s="20">
        <v>55</v>
      </c>
      <c r="W24" s="29"/>
      <c r="X24" s="19"/>
      <c r="Y24" s="19"/>
      <c r="Z24" s="20"/>
    </row>
    <row r="25" spans="1:26">
      <c r="A25" s="1">
        <v>40967</v>
      </c>
      <c r="B25" s="9">
        <v>49.1</v>
      </c>
      <c r="D25" s="9">
        <f t="shared" si="0"/>
        <v>1.964</v>
      </c>
      <c r="F25" s="19"/>
      <c r="G25" s="18">
        <v>40147</v>
      </c>
      <c r="H25" s="19">
        <f>D11*(G25-G24)</f>
        <v>10.376623376623378</v>
      </c>
      <c r="I25" s="19"/>
      <c r="J25" s="19"/>
      <c r="K25" s="19"/>
      <c r="L25" s="19"/>
      <c r="M25" s="19"/>
      <c r="N25" s="19"/>
      <c r="O25" s="19"/>
      <c r="P25" s="19"/>
      <c r="Q25" s="19"/>
      <c r="R25" s="20"/>
      <c r="T25" s="18">
        <v>40086</v>
      </c>
      <c r="U25" s="19"/>
      <c r="V25" s="20">
        <v>72</v>
      </c>
      <c r="W25" s="29" t="s">
        <v>27</v>
      </c>
      <c r="X25" s="19">
        <f>SUM(V13:V21)+SUM(V23:V25)</f>
        <v>2139</v>
      </c>
      <c r="Y25" s="19"/>
      <c r="Z25" s="20"/>
    </row>
    <row r="26" spans="1:26">
      <c r="A26" s="1">
        <v>41011</v>
      </c>
      <c r="B26" s="9">
        <v>51.2</v>
      </c>
      <c r="D26" s="9">
        <f t="shared" si="0"/>
        <v>1.1636363636363638</v>
      </c>
      <c r="F26" s="19"/>
      <c r="G26" s="21">
        <v>40178</v>
      </c>
      <c r="H26" s="22">
        <f>D11*(G26-G25)</f>
        <v>10.722510822510824</v>
      </c>
      <c r="I26" s="22"/>
      <c r="J26" s="22"/>
      <c r="K26" s="22"/>
      <c r="L26" s="22"/>
      <c r="M26" s="22"/>
      <c r="N26" s="22"/>
      <c r="O26" s="22"/>
      <c r="P26" s="22"/>
      <c r="Q26" s="22"/>
      <c r="R26" s="23"/>
      <c r="T26" s="18">
        <v>40117</v>
      </c>
      <c r="U26" s="19"/>
      <c r="V26" s="20">
        <v>38</v>
      </c>
      <c r="W26" s="29"/>
      <c r="X26" s="19"/>
      <c r="Y26" s="19"/>
      <c r="Z26" s="20"/>
    </row>
    <row r="27" spans="1:26">
      <c r="A27" s="1">
        <v>41116</v>
      </c>
      <c r="B27" s="9">
        <v>23.6</v>
      </c>
      <c r="D27" s="9">
        <f t="shared" si="0"/>
        <v>0.22476190476190477</v>
      </c>
      <c r="F27" s="19"/>
      <c r="G27" s="30"/>
      <c r="H27" s="19"/>
      <c r="I27" s="19"/>
      <c r="J27" s="19"/>
      <c r="K27" s="19"/>
      <c r="T27" s="18">
        <v>40147</v>
      </c>
      <c r="U27" s="19"/>
      <c r="V27" s="20">
        <v>510</v>
      </c>
      <c r="W27" s="29"/>
      <c r="X27" s="19"/>
      <c r="Y27" s="19"/>
      <c r="Z27" s="20"/>
    </row>
    <row r="28" spans="1:26">
      <c r="A28" s="1"/>
      <c r="F28" s="19"/>
      <c r="G28" s="30"/>
      <c r="H28" s="19"/>
      <c r="I28" s="19"/>
      <c r="J28" s="19"/>
      <c r="K28" s="19"/>
      <c r="T28" s="18">
        <v>40178</v>
      </c>
      <c r="U28" s="19"/>
      <c r="V28" s="20">
        <v>581</v>
      </c>
      <c r="W28" s="29"/>
      <c r="X28" s="19"/>
      <c r="Y28" s="19"/>
      <c r="Z28" s="20"/>
    </row>
    <row r="29" spans="1:26">
      <c r="A29" s="1"/>
      <c r="F29" s="19"/>
      <c r="G29" s="30"/>
      <c r="H29" s="19"/>
      <c r="I29" s="19"/>
      <c r="J29" s="19"/>
      <c r="K29" s="19"/>
      <c r="T29" s="18">
        <v>40200</v>
      </c>
      <c r="U29" s="19"/>
      <c r="V29" s="20">
        <v>1715</v>
      </c>
      <c r="W29" s="19"/>
      <c r="X29" s="19"/>
      <c r="Y29" s="30"/>
      <c r="Z29" s="20"/>
    </row>
    <row r="30" spans="1:26">
      <c r="F30" s="19"/>
      <c r="G30" s="30"/>
      <c r="H30" s="19"/>
      <c r="I30" s="19"/>
      <c r="J30" s="19"/>
      <c r="K30" s="19"/>
      <c r="T30" s="21">
        <v>40232</v>
      </c>
      <c r="U30" s="22"/>
      <c r="V30" s="23">
        <v>323</v>
      </c>
      <c r="W30" s="22"/>
      <c r="X30" s="22"/>
      <c r="Y30" s="31"/>
      <c r="Z30" s="23"/>
    </row>
    <row r="31" spans="1:26">
      <c r="B31" s="9">
        <f>SUM(B8:B10)</f>
        <v>103.5</v>
      </c>
      <c r="F31" s="19"/>
      <c r="G31" s="30"/>
      <c r="H31" s="19"/>
      <c r="I31" s="19"/>
      <c r="J31" s="19"/>
      <c r="K31" s="19"/>
    </row>
    <row r="32" spans="1:26">
      <c r="F32" s="19"/>
      <c r="G32" s="30"/>
      <c r="H32" s="19"/>
      <c r="I32" s="19"/>
      <c r="J32" s="19"/>
      <c r="K32" s="19"/>
    </row>
    <row r="33" spans="1:28">
      <c r="B33" s="9">
        <f>SUM(B7:B10)</f>
        <v>128.30000000000001</v>
      </c>
      <c r="F33" s="19"/>
      <c r="G33" s="30"/>
      <c r="H33" s="19"/>
      <c r="I33" s="19"/>
      <c r="J33" s="19"/>
      <c r="K33" s="19"/>
    </row>
    <row r="34" spans="1:28">
      <c r="F34" s="19"/>
      <c r="G34" s="30"/>
      <c r="H34" s="19"/>
      <c r="I34" s="19"/>
      <c r="J34" s="19"/>
      <c r="K34" s="19"/>
    </row>
    <row r="35" spans="1:28">
      <c r="A35" s="26"/>
      <c r="B35" s="16"/>
      <c r="C35" s="16"/>
      <c r="D35" s="16"/>
      <c r="E35" s="16"/>
      <c r="F35" s="16"/>
      <c r="G35" s="40"/>
      <c r="H35" s="16"/>
      <c r="I35" s="16" t="s">
        <v>72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</row>
    <row r="36" spans="1:28">
      <c r="A36" s="28"/>
      <c r="B36" s="19"/>
      <c r="C36" s="19" t="s">
        <v>25</v>
      </c>
      <c r="D36" s="19"/>
      <c r="E36" s="29">
        <f>1/E38</f>
        <v>292.99736302373282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/>
    </row>
    <row r="37" spans="1:28">
      <c r="A37" s="28"/>
      <c r="B37" s="19"/>
      <c r="C37" s="19" t="s">
        <v>22</v>
      </c>
      <c r="D37" s="19"/>
      <c r="E37" s="41">
        <f>100000/1000000</f>
        <v>0.1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0"/>
    </row>
    <row r="38" spans="1:28">
      <c r="A38" s="28"/>
      <c r="B38" s="19"/>
      <c r="C38" s="19" t="s">
        <v>21</v>
      </c>
      <c r="D38" s="19"/>
      <c r="E38" s="19">
        <f>3413/1000000</f>
        <v>3.4129999999999998E-3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0"/>
    </row>
    <row r="39" spans="1:28">
      <c r="A39" s="28"/>
      <c r="B39" s="19"/>
      <c r="C39" s="19" t="s">
        <v>51</v>
      </c>
      <c r="D39" s="19"/>
      <c r="E39" s="19">
        <f>91.6476/1000</f>
        <v>9.1647599999999996E-2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spans="1:28">
      <c r="A40" s="28"/>
      <c r="B40" s="19"/>
      <c r="C40" s="19" t="s">
        <v>61</v>
      </c>
      <c r="D40" s="19"/>
      <c r="E40" s="19">
        <v>24.5</v>
      </c>
      <c r="F40" s="19" t="s">
        <v>60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0"/>
    </row>
    <row r="41" spans="1:28">
      <c r="A41" s="28"/>
      <c r="B41" s="19" t="s">
        <v>24</v>
      </c>
      <c r="C41" s="19"/>
      <c r="D41" s="19"/>
      <c r="E41" s="19">
        <v>3.34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/>
    </row>
    <row r="42" spans="1:28">
      <c r="A42" s="28"/>
      <c r="B42" s="19" t="s">
        <v>23</v>
      </c>
      <c r="C42" s="19"/>
      <c r="D42" s="19"/>
      <c r="E42" s="19">
        <v>1.0469999999999999</v>
      </c>
      <c r="F42" s="19"/>
      <c r="G42" s="19"/>
      <c r="H42" s="19"/>
      <c r="I42" s="19"/>
      <c r="J42" s="19" t="s">
        <v>70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0"/>
    </row>
    <row r="43" spans="1:28">
      <c r="A43" s="28"/>
      <c r="B43" s="19" t="s">
        <v>41</v>
      </c>
      <c r="C43" s="19"/>
      <c r="D43" s="19"/>
      <c r="E43" s="19">
        <v>1.01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 t="s">
        <v>27</v>
      </c>
      <c r="X43" s="19"/>
      <c r="Y43" s="19"/>
      <c r="Z43" s="19" t="s">
        <v>30</v>
      </c>
      <c r="AA43" s="19"/>
      <c r="AB43" s="20"/>
    </row>
    <row r="44" spans="1:28">
      <c r="A44" s="42"/>
      <c r="B44" s="4"/>
      <c r="C44" s="4" t="s">
        <v>57</v>
      </c>
      <c r="D44" s="4"/>
      <c r="E44" s="4"/>
      <c r="F44" s="4"/>
      <c r="G44" s="4"/>
      <c r="H44" s="4"/>
      <c r="I44" s="4"/>
      <c r="J44" s="4" t="s">
        <v>58</v>
      </c>
      <c r="K44" s="4"/>
      <c r="L44" s="4"/>
      <c r="M44" s="4"/>
      <c r="N44" s="81" t="s">
        <v>1</v>
      </c>
      <c r="O44" s="81"/>
      <c r="P44" s="4" t="s">
        <v>26</v>
      </c>
      <c r="Q44" s="4"/>
      <c r="R44" s="4" t="s">
        <v>18</v>
      </c>
      <c r="S44" s="4" t="s">
        <v>19</v>
      </c>
      <c r="T44" s="4"/>
      <c r="U44" s="4"/>
      <c r="V44" s="4"/>
      <c r="W44" s="4"/>
      <c r="X44" s="4"/>
      <c r="Y44" s="4"/>
      <c r="Z44" s="4"/>
      <c r="AA44" s="4"/>
      <c r="AB44" s="43"/>
    </row>
    <row r="45" spans="1:28">
      <c r="A45" s="42"/>
      <c r="B45" s="4"/>
      <c r="C45" s="4" t="s">
        <v>34</v>
      </c>
      <c r="D45" s="4" t="s">
        <v>18</v>
      </c>
      <c r="E45" s="4" t="s">
        <v>19</v>
      </c>
      <c r="F45" s="4"/>
      <c r="G45" s="4" t="s">
        <v>17</v>
      </c>
      <c r="H45" s="4" t="s">
        <v>20</v>
      </c>
      <c r="I45" s="4"/>
      <c r="J45" s="4" t="s">
        <v>59</v>
      </c>
      <c r="K45" s="4" t="s">
        <v>63</v>
      </c>
      <c r="L45" s="4"/>
      <c r="M45" s="4"/>
      <c r="N45" s="25" t="s">
        <v>17</v>
      </c>
      <c r="O45" s="25"/>
      <c r="P45" s="4"/>
      <c r="Q45" s="4"/>
      <c r="R45" s="4"/>
      <c r="S45" s="4"/>
      <c r="T45" s="4" t="s">
        <v>0</v>
      </c>
      <c r="U45" s="4" t="s">
        <v>5</v>
      </c>
      <c r="V45" s="4"/>
      <c r="W45" s="4" t="s">
        <v>28</v>
      </c>
      <c r="X45" s="4" t="s">
        <v>29</v>
      </c>
      <c r="Y45" s="4"/>
      <c r="Z45" s="4" t="s">
        <v>28</v>
      </c>
      <c r="AA45" s="4" t="s">
        <v>29</v>
      </c>
      <c r="AB45" s="43"/>
    </row>
    <row r="46" spans="1:28">
      <c r="A46" s="42"/>
      <c r="B46" s="4"/>
      <c r="C46" s="4"/>
      <c r="D46" s="4"/>
      <c r="E46" s="4"/>
      <c r="F46" s="4"/>
      <c r="G46" s="4"/>
      <c r="H46" s="4"/>
      <c r="I46" s="4"/>
      <c r="J46" s="4"/>
      <c r="K46" s="4" t="s">
        <v>62</v>
      </c>
      <c r="L46" s="4" t="s">
        <v>49</v>
      </c>
      <c r="M46" s="32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3"/>
    </row>
    <row r="47" spans="1:28">
      <c r="A47" s="42"/>
      <c r="B47" s="32">
        <v>39722</v>
      </c>
      <c r="C47" s="33">
        <f>H12</f>
        <v>8.1787234042553187</v>
      </c>
      <c r="D47" s="33">
        <f>C47*E$39</f>
        <v>0.74956037106382967</v>
      </c>
      <c r="E47" s="33">
        <f>D47*E$43</f>
        <v>0.75705597477446795</v>
      </c>
      <c r="F47" s="4"/>
      <c r="G47" s="33">
        <f>D47*E$36</f>
        <v>219.61921214879277</v>
      </c>
      <c r="H47" s="33">
        <f>E47*E$36</f>
        <v>221.81540427028071</v>
      </c>
      <c r="I47" s="33"/>
      <c r="J47" s="33">
        <v>0</v>
      </c>
      <c r="K47" s="33">
        <f>J47*E$40</f>
        <v>0</v>
      </c>
      <c r="L47" s="33">
        <f>K47*E$36</f>
        <v>0</v>
      </c>
      <c r="M47" s="32">
        <v>39722</v>
      </c>
      <c r="N47" s="25">
        <f>V13</f>
        <v>36</v>
      </c>
      <c r="O47" s="25"/>
      <c r="P47" s="4">
        <f>N47*E$41</f>
        <v>120.24</v>
      </c>
      <c r="Q47" s="4"/>
      <c r="R47" s="33">
        <f>N47*E$38</f>
        <v>0.12286799999999999</v>
      </c>
      <c r="S47" s="33">
        <f>P47*E$38</f>
        <v>0.41037911999999999</v>
      </c>
      <c r="T47" s="4">
        <f>B91</f>
        <v>516</v>
      </c>
      <c r="U47" s="4">
        <f>B70</f>
        <v>7</v>
      </c>
      <c r="V47" s="4"/>
      <c r="W47" s="33">
        <f>G47+L47+N47</f>
        <v>255.61921214879277</v>
      </c>
      <c r="X47" s="33">
        <f>H47+L47+P47</f>
        <v>342.05540427028069</v>
      </c>
      <c r="Y47" s="33"/>
      <c r="Z47" s="33">
        <f>D47+K47+R47</f>
        <v>0.87242837106382964</v>
      </c>
      <c r="AA47" s="33">
        <f>E47+K47+S47</f>
        <v>1.1674350947744681</v>
      </c>
      <c r="AB47" s="43"/>
    </row>
    <row r="48" spans="1:28">
      <c r="A48" s="42"/>
      <c r="B48" s="32">
        <v>39753</v>
      </c>
      <c r="C48" s="33">
        <f t="shared" ref="C48:C58" si="1">H13</f>
        <v>7.914893617021276</v>
      </c>
      <c r="D48" s="33">
        <f t="shared" ref="D48:D58" si="2">C48*E$39</f>
        <v>0.72538100425531904</v>
      </c>
      <c r="E48" s="33">
        <f t="shared" ref="E48:E58" si="3">D48*E$43</f>
        <v>0.73263481429787225</v>
      </c>
      <c r="F48" s="4"/>
      <c r="G48" s="33">
        <f t="shared" ref="G48:G58" si="4">D48*E$36</f>
        <v>212.5347214343156</v>
      </c>
      <c r="H48" s="33">
        <f t="shared" ref="H48:H58" si="5">E48*E$36</f>
        <v>214.66006864865875</v>
      </c>
      <c r="I48" s="33"/>
      <c r="J48" s="33">
        <v>0.75</v>
      </c>
      <c r="K48" s="33">
        <f t="shared" ref="K48:K58" si="6">J48*E$40</f>
        <v>18.375</v>
      </c>
      <c r="L48" s="33">
        <f t="shared" ref="L48:L58" si="7">K48*E$36</f>
        <v>5383.8265455610908</v>
      </c>
      <c r="M48" s="32">
        <v>39753</v>
      </c>
      <c r="N48" s="25">
        <f t="shared" ref="N48:N55" si="8">V14</f>
        <v>14</v>
      </c>
      <c r="O48" s="25"/>
      <c r="P48" s="4">
        <f t="shared" ref="P48:P58" si="9">N48*E$41</f>
        <v>46.76</v>
      </c>
      <c r="Q48" s="4"/>
      <c r="R48" s="33">
        <f t="shared" ref="R48:R58" si="10">N48*E$38</f>
        <v>4.7781999999999998E-2</v>
      </c>
      <c r="S48" s="33">
        <f t="shared" ref="S48:S58" si="11">P48*E$38</f>
        <v>0.15959187999999999</v>
      </c>
      <c r="T48" s="4">
        <f t="shared" ref="T48:T58" si="12">B92</f>
        <v>773</v>
      </c>
      <c r="U48" s="4">
        <f t="shared" ref="U48:U58" si="13">B71</f>
        <v>0</v>
      </c>
      <c r="V48" s="4"/>
      <c r="W48" s="33">
        <f t="shared" ref="W48:W58" si="14">G48+L48+N48</f>
        <v>5610.3612669954064</v>
      </c>
      <c r="X48" s="33">
        <f t="shared" ref="X48:X58" si="15">H48+L48+P48</f>
        <v>5645.2466142097501</v>
      </c>
      <c r="Y48" s="33"/>
      <c r="Z48" s="33">
        <f t="shared" ref="Z48:Z58" si="16">D48+K48+R48</f>
        <v>19.14816300425532</v>
      </c>
      <c r="AA48" s="33">
        <f t="shared" ref="AA48:AA58" si="17">E48+K48+S48</f>
        <v>19.267226694297872</v>
      </c>
      <c r="AB48" s="43"/>
    </row>
    <row r="49" spans="1:28">
      <c r="A49" s="42"/>
      <c r="B49" s="32">
        <v>39783</v>
      </c>
      <c r="C49" s="33">
        <f t="shared" si="1"/>
        <v>14.13244680851064</v>
      </c>
      <c r="D49" s="33">
        <f t="shared" si="2"/>
        <v>1.2952048321276597</v>
      </c>
      <c r="E49" s="33">
        <f t="shared" si="3"/>
        <v>1.3081568804489363</v>
      </c>
      <c r="F49" s="4"/>
      <c r="G49" s="33">
        <f t="shared" si="4"/>
        <v>379.49160038900084</v>
      </c>
      <c r="H49" s="33">
        <f t="shared" si="5"/>
        <v>383.28651639289086</v>
      </c>
      <c r="I49" s="33"/>
      <c r="J49" s="33">
        <v>1.5</v>
      </c>
      <c r="K49" s="33">
        <f t="shared" si="6"/>
        <v>36.75</v>
      </c>
      <c r="L49" s="33">
        <f t="shared" si="7"/>
        <v>10767.653091122182</v>
      </c>
      <c r="M49" s="32">
        <v>39783</v>
      </c>
      <c r="N49" s="25">
        <f t="shared" si="8"/>
        <v>54</v>
      </c>
      <c r="O49" s="25"/>
      <c r="P49" s="4">
        <f t="shared" si="9"/>
        <v>180.35999999999999</v>
      </c>
      <c r="Q49" s="4"/>
      <c r="R49" s="33">
        <f t="shared" si="10"/>
        <v>0.18430199999999999</v>
      </c>
      <c r="S49" s="33">
        <f t="shared" si="11"/>
        <v>0.61556867999999987</v>
      </c>
      <c r="T49" s="4">
        <f t="shared" si="12"/>
        <v>1059</v>
      </c>
      <c r="U49" s="4">
        <f t="shared" si="13"/>
        <v>0</v>
      </c>
      <c r="V49" s="4"/>
      <c r="W49" s="33">
        <f t="shared" si="14"/>
        <v>11201.144691511183</v>
      </c>
      <c r="X49" s="33">
        <f t="shared" si="15"/>
        <v>11331.299607515073</v>
      </c>
      <c r="Y49" s="33"/>
      <c r="Z49" s="33">
        <f t="shared" si="16"/>
        <v>38.229506832127662</v>
      </c>
      <c r="AA49" s="33">
        <f t="shared" si="17"/>
        <v>38.673725560448936</v>
      </c>
      <c r="AB49" s="43"/>
    </row>
    <row r="50" spans="1:28">
      <c r="A50" s="42"/>
      <c r="B50" s="32">
        <v>39814</v>
      </c>
      <c r="C50" s="33">
        <f t="shared" si="1"/>
        <v>19.714062500000001</v>
      </c>
      <c r="D50" s="33">
        <f t="shared" si="2"/>
        <v>1.8067465143749999</v>
      </c>
      <c r="E50" s="33">
        <f t="shared" si="3"/>
        <v>1.8248139795187499</v>
      </c>
      <c r="F50" s="4"/>
      <c r="G50" s="33">
        <f t="shared" si="4"/>
        <v>529.37196436419572</v>
      </c>
      <c r="H50" s="33">
        <f t="shared" si="5"/>
        <v>534.66568400783774</v>
      </c>
      <c r="I50" s="33"/>
      <c r="J50" s="33">
        <v>2.5</v>
      </c>
      <c r="K50" s="33">
        <f t="shared" si="6"/>
        <v>61.25</v>
      </c>
      <c r="L50" s="33">
        <f t="shared" si="7"/>
        <v>17946.088485203636</v>
      </c>
      <c r="M50" s="32">
        <v>39814</v>
      </c>
      <c r="N50" s="25">
        <f t="shared" si="8"/>
        <v>898</v>
      </c>
      <c r="O50" s="25"/>
      <c r="P50" s="4">
        <f t="shared" si="9"/>
        <v>2999.3199999999997</v>
      </c>
      <c r="Q50" s="4"/>
      <c r="R50" s="33">
        <f t="shared" si="10"/>
        <v>3.0648739999999997</v>
      </c>
      <c r="S50" s="33">
        <f t="shared" si="11"/>
        <v>10.236679159999998</v>
      </c>
      <c r="T50" s="4">
        <f t="shared" si="12"/>
        <v>1407</v>
      </c>
      <c r="U50" s="4">
        <f t="shared" si="13"/>
        <v>0</v>
      </c>
      <c r="V50" s="4"/>
      <c r="W50" s="33">
        <f t="shared" si="14"/>
        <v>19373.460449567832</v>
      </c>
      <c r="X50" s="33">
        <f t="shared" si="15"/>
        <v>21480.074169211475</v>
      </c>
      <c r="Y50" s="33"/>
      <c r="Z50" s="33">
        <f t="shared" si="16"/>
        <v>66.121620514374996</v>
      </c>
      <c r="AA50" s="33">
        <f t="shared" si="17"/>
        <v>73.311493139518745</v>
      </c>
      <c r="AB50" s="43"/>
    </row>
    <row r="51" spans="1:28">
      <c r="A51" s="42"/>
      <c r="B51" s="32">
        <v>39845</v>
      </c>
      <c r="C51" s="33">
        <f t="shared" si="1"/>
        <v>17.234151785714289</v>
      </c>
      <c r="D51" s="33">
        <f t="shared" si="2"/>
        <v>1.5794686491964287</v>
      </c>
      <c r="E51" s="33">
        <f t="shared" si="3"/>
        <v>1.595263335688393</v>
      </c>
      <c r="F51" s="4"/>
      <c r="G51" s="33">
        <f t="shared" si="4"/>
        <v>462.78014919321095</v>
      </c>
      <c r="H51" s="33">
        <f t="shared" si="5"/>
        <v>467.40795068514302</v>
      </c>
      <c r="I51" s="33"/>
      <c r="J51" s="33">
        <v>1.5</v>
      </c>
      <c r="K51" s="33">
        <f t="shared" si="6"/>
        <v>36.75</v>
      </c>
      <c r="L51" s="33">
        <f t="shared" si="7"/>
        <v>10767.653091122182</v>
      </c>
      <c r="M51" s="32">
        <v>39845</v>
      </c>
      <c r="N51" s="25">
        <f t="shared" si="8"/>
        <v>687</v>
      </c>
      <c r="O51" s="25"/>
      <c r="P51" s="4">
        <f t="shared" si="9"/>
        <v>2294.58</v>
      </c>
      <c r="Q51" s="4"/>
      <c r="R51" s="33">
        <f t="shared" si="10"/>
        <v>2.3447309999999999</v>
      </c>
      <c r="S51" s="33">
        <f t="shared" si="11"/>
        <v>7.831401539999999</v>
      </c>
      <c r="T51" s="4">
        <f t="shared" si="12"/>
        <v>1017</v>
      </c>
      <c r="U51" s="4">
        <f t="shared" si="13"/>
        <v>0</v>
      </c>
      <c r="V51" s="4"/>
      <c r="W51" s="33">
        <f t="shared" si="14"/>
        <v>11917.433240315393</v>
      </c>
      <c r="X51" s="33">
        <f t="shared" si="15"/>
        <v>13529.641041807325</v>
      </c>
      <c r="Y51" s="33"/>
      <c r="Z51" s="33">
        <f t="shared" si="16"/>
        <v>40.674199649196431</v>
      </c>
      <c r="AA51" s="33">
        <f t="shared" si="17"/>
        <v>46.176664875688395</v>
      </c>
      <c r="AB51" s="43"/>
    </row>
    <row r="52" spans="1:28">
      <c r="A52" s="42"/>
      <c r="B52" s="32">
        <v>39873</v>
      </c>
      <c r="C52" s="33">
        <f t="shared" si="1"/>
        <v>18.101785714285715</v>
      </c>
      <c r="D52" s="33">
        <f t="shared" si="2"/>
        <v>1.6589852164285714</v>
      </c>
      <c r="E52" s="33">
        <f t="shared" si="3"/>
        <v>1.6755750685928572</v>
      </c>
      <c r="F52" s="4"/>
      <c r="G52" s="33">
        <f t="shared" si="4"/>
        <v>486.07829370892813</v>
      </c>
      <c r="H52" s="33">
        <f t="shared" si="5"/>
        <v>490.93907664601738</v>
      </c>
      <c r="I52" s="33"/>
      <c r="J52" s="33">
        <v>0.75</v>
      </c>
      <c r="K52" s="33">
        <f t="shared" si="6"/>
        <v>18.375</v>
      </c>
      <c r="L52" s="33">
        <f t="shared" si="7"/>
        <v>5383.8265455610908</v>
      </c>
      <c r="M52" s="32">
        <v>39873</v>
      </c>
      <c r="N52" s="25">
        <f t="shared" si="8"/>
        <v>93</v>
      </c>
      <c r="O52" s="25"/>
      <c r="P52" s="4">
        <f t="shared" si="9"/>
        <v>310.62</v>
      </c>
      <c r="Q52" s="4"/>
      <c r="R52" s="33">
        <f t="shared" si="10"/>
        <v>0.317409</v>
      </c>
      <c r="S52" s="33">
        <f t="shared" si="11"/>
        <v>1.0601460599999999</v>
      </c>
      <c r="T52" s="4">
        <f t="shared" si="12"/>
        <v>890</v>
      </c>
      <c r="U52" s="4">
        <f t="shared" si="13"/>
        <v>0</v>
      </c>
      <c r="V52" s="4"/>
      <c r="W52" s="33">
        <f t="shared" si="14"/>
        <v>5962.9048392700188</v>
      </c>
      <c r="X52" s="33">
        <f t="shared" si="15"/>
        <v>6185.3856222071081</v>
      </c>
      <c r="Y52" s="33"/>
      <c r="Z52" s="33">
        <f t="shared" si="16"/>
        <v>20.351394216428574</v>
      </c>
      <c r="AA52" s="33">
        <f t="shared" si="17"/>
        <v>21.110721128592857</v>
      </c>
      <c r="AB52" s="43"/>
    </row>
    <row r="53" spans="1:28">
      <c r="A53" s="42"/>
      <c r="B53" s="32">
        <v>39904</v>
      </c>
      <c r="C53" s="33">
        <f t="shared" si="1"/>
        <v>16.478448275862071</v>
      </c>
      <c r="D53" s="33">
        <f t="shared" si="2"/>
        <v>1.5102102362068968</v>
      </c>
      <c r="E53" s="33">
        <f t="shared" si="3"/>
        <v>1.5253123385689658</v>
      </c>
      <c r="F53" s="4"/>
      <c r="G53" s="33">
        <f t="shared" si="4"/>
        <v>442.48761682006943</v>
      </c>
      <c r="H53" s="33">
        <f t="shared" si="5"/>
        <v>446.91249298827012</v>
      </c>
      <c r="I53" s="33"/>
      <c r="J53" s="33">
        <v>0</v>
      </c>
      <c r="K53" s="33">
        <f t="shared" si="6"/>
        <v>0</v>
      </c>
      <c r="L53" s="33">
        <f t="shared" si="7"/>
        <v>0</v>
      </c>
      <c r="M53" s="32">
        <v>39904</v>
      </c>
      <c r="N53" s="25">
        <f t="shared" si="8"/>
        <v>73</v>
      </c>
      <c r="O53" s="25"/>
      <c r="P53" s="4">
        <f t="shared" si="9"/>
        <v>243.82</v>
      </c>
      <c r="Q53" s="4"/>
      <c r="R53" s="33">
        <f t="shared" si="10"/>
        <v>0.24914899999999998</v>
      </c>
      <c r="S53" s="33">
        <f t="shared" si="11"/>
        <v>0.83215765999999991</v>
      </c>
      <c r="T53" s="4">
        <f t="shared" si="12"/>
        <v>478</v>
      </c>
      <c r="U53" s="4">
        <f t="shared" si="13"/>
        <v>40</v>
      </c>
      <c r="V53" s="4"/>
      <c r="W53" s="33">
        <f t="shared" si="14"/>
        <v>515.48761682006943</v>
      </c>
      <c r="X53" s="33">
        <f t="shared" si="15"/>
        <v>690.73249298827011</v>
      </c>
      <c r="Y53" s="33"/>
      <c r="Z53" s="33">
        <f t="shared" si="16"/>
        <v>1.7593592362068968</v>
      </c>
      <c r="AA53" s="33">
        <f t="shared" si="17"/>
        <v>2.3574699985689658</v>
      </c>
      <c r="AB53" s="43"/>
    </row>
    <row r="54" spans="1:28">
      <c r="A54" s="42"/>
      <c r="B54" s="32">
        <v>39934</v>
      </c>
      <c r="C54" s="33">
        <f t="shared" si="1"/>
        <v>16.087931034482757</v>
      </c>
      <c r="D54" s="33">
        <f t="shared" si="2"/>
        <v>1.4744202682758618</v>
      </c>
      <c r="E54" s="33">
        <f t="shared" si="3"/>
        <v>1.4891644709586205</v>
      </c>
      <c r="F54" s="4"/>
      <c r="G54" s="33">
        <f t="shared" si="4"/>
        <v>432.00125059357219</v>
      </c>
      <c r="H54" s="33">
        <f t="shared" si="5"/>
        <v>436.32126309950797</v>
      </c>
      <c r="I54" s="33"/>
      <c r="J54" s="33">
        <v>0</v>
      </c>
      <c r="K54" s="33">
        <f t="shared" si="6"/>
        <v>0</v>
      </c>
      <c r="L54" s="33">
        <f t="shared" si="7"/>
        <v>0</v>
      </c>
      <c r="M54" s="32">
        <v>39934</v>
      </c>
      <c r="N54" s="25">
        <f t="shared" si="8"/>
        <v>68</v>
      </c>
      <c r="O54" s="25"/>
      <c r="P54" s="4">
        <f t="shared" si="9"/>
        <v>227.12</v>
      </c>
      <c r="Q54" s="4"/>
      <c r="R54" s="33">
        <f t="shared" si="10"/>
        <v>0.23208399999999998</v>
      </c>
      <c r="S54" s="33">
        <f t="shared" si="11"/>
        <v>0.77516056</v>
      </c>
      <c r="T54" s="4">
        <f t="shared" si="12"/>
        <v>260</v>
      </c>
      <c r="U54" s="4">
        <f t="shared" si="13"/>
        <v>59</v>
      </c>
      <c r="V54" s="4"/>
      <c r="W54" s="33">
        <f t="shared" si="14"/>
        <v>500.00125059357219</v>
      </c>
      <c r="X54" s="33">
        <f t="shared" si="15"/>
        <v>663.44126309950798</v>
      </c>
      <c r="Y54" s="33"/>
      <c r="Z54" s="33">
        <f t="shared" si="16"/>
        <v>1.7065042682758618</v>
      </c>
      <c r="AA54" s="33">
        <f t="shared" si="17"/>
        <v>2.2643250309586205</v>
      </c>
      <c r="AB54" s="43"/>
    </row>
    <row r="55" spans="1:28">
      <c r="A55" s="42"/>
      <c r="B55" s="32">
        <v>39965</v>
      </c>
      <c r="C55" s="33">
        <f t="shared" si="1"/>
        <v>12.280482161516645</v>
      </c>
      <c r="D55" s="33">
        <f t="shared" si="2"/>
        <v>1.1254767169458129</v>
      </c>
      <c r="E55" s="33">
        <f t="shared" si="3"/>
        <v>1.1367314841152709</v>
      </c>
      <c r="F55" s="4"/>
      <c r="G55" s="33">
        <f t="shared" si="4"/>
        <v>329.76171020973129</v>
      </c>
      <c r="H55" s="33">
        <f t="shared" si="5"/>
        <v>333.05932731182861</v>
      </c>
      <c r="I55" s="33"/>
      <c r="J55" s="33">
        <v>0</v>
      </c>
      <c r="K55" s="33">
        <f t="shared" si="6"/>
        <v>0</v>
      </c>
      <c r="L55" s="33">
        <f t="shared" si="7"/>
        <v>0</v>
      </c>
      <c r="M55" s="32">
        <v>39965</v>
      </c>
      <c r="N55" s="25">
        <f t="shared" si="8"/>
        <v>46</v>
      </c>
      <c r="O55" s="25"/>
      <c r="P55" s="4">
        <f t="shared" si="9"/>
        <v>153.63999999999999</v>
      </c>
      <c r="Q55" s="4"/>
      <c r="R55" s="33">
        <f t="shared" si="10"/>
        <v>0.156998</v>
      </c>
      <c r="S55" s="33">
        <f t="shared" si="11"/>
        <v>0.52437331999999992</v>
      </c>
      <c r="T55" s="4">
        <f t="shared" si="12"/>
        <v>95</v>
      </c>
      <c r="U55" s="4">
        <f t="shared" si="13"/>
        <v>81</v>
      </c>
      <c r="V55" s="4"/>
      <c r="W55" s="33">
        <f t="shared" si="14"/>
        <v>375.76171020973129</v>
      </c>
      <c r="X55" s="33">
        <f t="shared" si="15"/>
        <v>486.6993273118286</v>
      </c>
      <c r="Y55" s="33"/>
      <c r="Z55" s="33">
        <f t="shared" si="16"/>
        <v>1.2824747169458128</v>
      </c>
      <c r="AA55" s="33">
        <f t="shared" si="17"/>
        <v>1.6611048041152707</v>
      </c>
      <c r="AB55" s="43"/>
    </row>
    <row r="56" spans="1:28">
      <c r="A56" s="42"/>
      <c r="B56" s="32">
        <v>39995</v>
      </c>
      <c r="C56" s="33">
        <f t="shared" si="1"/>
        <v>10.722510822510824</v>
      </c>
      <c r="D56" s="33">
        <f t="shared" si="2"/>
        <v>0.98269238285714289</v>
      </c>
      <c r="E56" s="33">
        <f t="shared" si="3"/>
        <v>0.99251930668571431</v>
      </c>
      <c r="F56" s="4"/>
      <c r="G56" s="33">
        <f t="shared" si="4"/>
        <v>287.92627684065133</v>
      </c>
      <c r="H56" s="33">
        <f t="shared" si="5"/>
        <v>290.80553960905786</v>
      </c>
      <c r="I56" s="33"/>
      <c r="J56" s="33">
        <v>0</v>
      </c>
      <c r="K56" s="33">
        <f t="shared" si="6"/>
        <v>0</v>
      </c>
      <c r="L56" s="33">
        <f t="shared" si="7"/>
        <v>0</v>
      </c>
      <c r="M56" s="32">
        <v>39995</v>
      </c>
      <c r="N56" s="25">
        <f>V23</f>
        <v>43</v>
      </c>
      <c r="O56" s="25"/>
      <c r="P56" s="4">
        <f t="shared" si="9"/>
        <v>143.62</v>
      </c>
      <c r="Q56" s="4"/>
      <c r="R56" s="33">
        <f t="shared" si="10"/>
        <v>0.146759</v>
      </c>
      <c r="S56" s="33">
        <f t="shared" si="11"/>
        <v>0.49017506</v>
      </c>
      <c r="T56" s="4">
        <f t="shared" si="12"/>
        <v>52</v>
      </c>
      <c r="U56" s="4">
        <f t="shared" si="13"/>
        <v>159</v>
      </c>
      <c r="V56" s="4"/>
      <c r="W56" s="33">
        <f t="shared" si="14"/>
        <v>330.92627684065133</v>
      </c>
      <c r="X56" s="33">
        <f t="shared" si="15"/>
        <v>434.42553960905786</v>
      </c>
      <c r="Y56" s="33"/>
      <c r="Z56" s="33">
        <f t="shared" si="16"/>
        <v>1.1294513828571429</v>
      </c>
      <c r="AA56" s="33">
        <f t="shared" si="17"/>
        <v>1.4826943666857142</v>
      </c>
      <c r="AB56" s="43"/>
    </row>
    <row r="57" spans="1:28">
      <c r="A57" s="42"/>
      <c r="B57" s="32">
        <v>40026</v>
      </c>
      <c r="C57" s="33">
        <f t="shared" si="1"/>
        <v>10.722510822510824</v>
      </c>
      <c r="D57" s="33">
        <f t="shared" si="2"/>
        <v>0.98269238285714289</v>
      </c>
      <c r="E57" s="33">
        <f t="shared" si="3"/>
        <v>0.99251930668571431</v>
      </c>
      <c r="F57" s="4"/>
      <c r="G57" s="33">
        <f t="shared" si="4"/>
        <v>287.92627684065133</v>
      </c>
      <c r="H57" s="33">
        <f t="shared" si="5"/>
        <v>290.80553960905786</v>
      </c>
      <c r="I57" s="33"/>
      <c r="J57" s="33">
        <v>0</v>
      </c>
      <c r="K57" s="33">
        <f t="shared" si="6"/>
        <v>0</v>
      </c>
      <c r="L57" s="33">
        <f t="shared" si="7"/>
        <v>0</v>
      </c>
      <c r="M57" s="32">
        <v>40026</v>
      </c>
      <c r="N57" s="25">
        <f t="shared" ref="N57:N58" si="18">V24</f>
        <v>55</v>
      </c>
      <c r="O57" s="25"/>
      <c r="P57" s="4">
        <f t="shared" si="9"/>
        <v>183.7</v>
      </c>
      <c r="Q57" s="4"/>
      <c r="R57" s="33">
        <f t="shared" si="10"/>
        <v>0.18771499999999999</v>
      </c>
      <c r="S57" s="33">
        <f t="shared" si="11"/>
        <v>0.62696809999999992</v>
      </c>
      <c r="T57" s="4">
        <f t="shared" si="12"/>
        <v>40</v>
      </c>
      <c r="U57" s="4">
        <f t="shared" si="13"/>
        <v>236</v>
      </c>
      <c r="V57" s="4"/>
      <c r="W57" s="33">
        <f t="shared" si="14"/>
        <v>342.92627684065133</v>
      </c>
      <c r="X57" s="33">
        <f t="shared" si="15"/>
        <v>474.50553960905785</v>
      </c>
      <c r="Y57" s="33"/>
      <c r="Z57" s="33">
        <f t="shared" si="16"/>
        <v>1.1704073828571429</v>
      </c>
      <c r="AA57" s="33">
        <f t="shared" si="17"/>
        <v>1.6194874066857143</v>
      </c>
      <c r="AB57" s="43"/>
    </row>
    <row r="58" spans="1:28">
      <c r="A58" s="42"/>
      <c r="B58" s="32">
        <v>40057</v>
      </c>
      <c r="C58" s="33">
        <f t="shared" si="1"/>
        <v>10.376623376623378</v>
      </c>
      <c r="D58" s="33">
        <f t="shared" si="2"/>
        <v>0.95099262857142863</v>
      </c>
      <c r="E58" s="33">
        <f t="shared" si="3"/>
        <v>0.96050255485714298</v>
      </c>
      <c r="F58" s="4"/>
      <c r="G58" s="33">
        <f t="shared" si="4"/>
        <v>278.63833242643676</v>
      </c>
      <c r="H58" s="33">
        <f t="shared" si="5"/>
        <v>281.42471575070118</v>
      </c>
      <c r="I58" s="33"/>
      <c r="J58" s="33">
        <v>0</v>
      </c>
      <c r="K58" s="33">
        <f t="shared" si="6"/>
        <v>0</v>
      </c>
      <c r="L58" s="33">
        <f t="shared" si="7"/>
        <v>0</v>
      </c>
      <c r="M58" s="32">
        <v>40057</v>
      </c>
      <c r="N58" s="25">
        <f t="shared" si="18"/>
        <v>72</v>
      </c>
      <c r="O58" s="4"/>
      <c r="P58" s="4">
        <f t="shared" si="9"/>
        <v>240.48</v>
      </c>
      <c r="Q58" s="4"/>
      <c r="R58" s="33">
        <f t="shared" si="10"/>
        <v>0.24573599999999998</v>
      </c>
      <c r="S58" s="33">
        <f t="shared" si="11"/>
        <v>0.82075823999999997</v>
      </c>
      <c r="T58" s="4">
        <f t="shared" si="12"/>
        <v>200</v>
      </c>
      <c r="U58" s="4">
        <f t="shared" si="13"/>
        <v>63</v>
      </c>
      <c r="V58" s="4"/>
      <c r="W58" s="33">
        <f t="shared" si="14"/>
        <v>350.63833242643676</v>
      </c>
      <c r="X58" s="33">
        <f t="shared" si="15"/>
        <v>521.90471575070114</v>
      </c>
      <c r="Y58" s="4"/>
      <c r="Z58" s="33">
        <f t="shared" si="16"/>
        <v>1.1967286285714287</v>
      </c>
      <c r="AA58" s="33">
        <f t="shared" si="17"/>
        <v>1.7812607948571428</v>
      </c>
      <c r="AB58" s="43"/>
    </row>
    <row r="59" spans="1:28">
      <c r="A59" s="4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3"/>
    </row>
    <row r="60" spans="1:28">
      <c r="A60" s="42"/>
      <c r="B60" s="4"/>
      <c r="C60" s="33">
        <f>SUM(C47:C58)</f>
        <v>161.94457032329373</v>
      </c>
      <c r="D60" s="33">
        <f>SUM(D47:D58)</f>
        <v>14.841831203161098</v>
      </c>
      <c r="E60" s="33">
        <f>SUM(E47:E58)</f>
        <v>14.990249515192707</v>
      </c>
      <c r="F60" s="4"/>
      <c r="G60" s="4"/>
      <c r="H60" s="4"/>
      <c r="I60" s="4"/>
      <c r="J60" s="33">
        <f>SUM(J47:J58)</f>
        <v>7</v>
      </c>
      <c r="K60" s="33">
        <f>SUM(K47:K58)</f>
        <v>171.5</v>
      </c>
      <c r="L60" s="4"/>
      <c r="M60" s="4"/>
      <c r="N60" s="33">
        <f>SUM(N47:N58)</f>
        <v>2139</v>
      </c>
      <c r="O60" s="4"/>
      <c r="P60" s="4"/>
      <c r="Q60" s="4"/>
      <c r="R60" s="33">
        <f t="shared" ref="R60:S60" si="19">SUM(R47:R58)</f>
        <v>7.3004069999999999</v>
      </c>
      <c r="S60" s="33">
        <f t="shared" si="19"/>
        <v>24.383359379999995</v>
      </c>
      <c r="T60" s="4"/>
      <c r="U60" s="4"/>
      <c r="V60" s="4"/>
      <c r="W60" s="33">
        <f>SUM(W47:W58)</f>
        <v>56736.665163539736</v>
      </c>
      <c r="X60" s="33">
        <f>SUM(X47:X58)</f>
        <v>61785.41133758943</v>
      </c>
      <c r="Y60" s="4"/>
      <c r="Z60" s="33">
        <f>SUM(Z47:Z58)</f>
        <v>193.64223820316116</v>
      </c>
      <c r="AA60" s="33">
        <f>SUM(AA47:AA58)</f>
        <v>210.87360889519272</v>
      </c>
      <c r="AB60" s="43"/>
    </row>
    <row r="61" spans="1:28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6"/>
    </row>
    <row r="62" spans="1:28">
      <c r="A62" s="9" t="s">
        <v>6</v>
      </c>
      <c r="B62" s="9" t="s">
        <v>16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f>SUM(T47:T58)</f>
        <v>6787</v>
      </c>
      <c r="U62" s="4"/>
      <c r="V62" s="4"/>
      <c r="W62" s="4"/>
      <c r="X62" s="4"/>
      <c r="Y62" s="4"/>
      <c r="Z62" s="4"/>
      <c r="AA62" s="4"/>
      <c r="AB62" s="4"/>
    </row>
    <row r="63" spans="1:28">
      <c r="A63" s="9" t="s">
        <v>8</v>
      </c>
      <c r="B63" s="9" t="s">
        <v>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>
      <c r="A64" s="9" t="s">
        <v>10</v>
      </c>
      <c r="B64" s="9" t="s">
        <v>11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 t="s">
        <v>98</v>
      </c>
      <c r="T64" s="4"/>
      <c r="U64" s="4"/>
      <c r="V64" s="4"/>
      <c r="W64" s="4"/>
      <c r="X64" s="4"/>
      <c r="Y64" s="4"/>
      <c r="Z64" s="4"/>
      <c r="AA64" s="4"/>
      <c r="AB64" s="4"/>
    </row>
    <row r="65" spans="1:28">
      <c r="A65" s="9" t="s">
        <v>12</v>
      </c>
      <c r="B65" s="9" t="s">
        <v>36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>
      <c r="A66" s="9" t="s">
        <v>13</v>
      </c>
      <c r="B66" s="9" t="s">
        <v>37</v>
      </c>
      <c r="P66" s="19"/>
      <c r="Q66" s="19"/>
      <c r="R66" s="19"/>
      <c r="S66" s="19"/>
    </row>
    <row r="67" spans="1:28">
      <c r="P67" s="19"/>
      <c r="Q67" s="19"/>
      <c r="R67" s="19"/>
      <c r="S67" s="19"/>
    </row>
    <row r="68" spans="1:28">
      <c r="A68" s="9" t="s">
        <v>14</v>
      </c>
      <c r="B68" s="9" t="s">
        <v>5</v>
      </c>
      <c r="C68" s="9" t="s">
        <v>15</v>
      </c>
      <c r="P68" s="19"/>
      <c r="Q68" s="19"/>
      <c r="R68" s="19"/>
      <c r="S68" s="19"/>
    </row>
    <row r="69" spans="1:28">
      <c r="A69" s="10">
        <v>39692</v>
      </c>
      <c r="B69" s="9">
        <v>90</v>
      </c>
      <c r="C69" s="9">
        <v>0</v>
      </c>
    </row>
    <row r="70" spans="1:28">
      <c r="A70" s="10">
        <v>39722</v>
      </c>
      <c r="B70" s="9">
        <v>7</v>
      </c>
      <c r="C70" s="9">
        <v>0</v>
      </c>
    </row>
    <row r="71" spans="1:28">
      <c r="A71" s="10">
        <v>39753</v>
      </c>
      <c r="B71" s="9">
        <v>0</v>
      </c>
      <c r="C71" s="9">
        <v>0</v>
      </c>
    </row>
    <row r="72" spans="1:28">
      <c r="A72" s="10">
        <v>39783</v>
      </c>
      <c r="B72" s="9">
        <v>0</v>
      </c>
      <c r="C72" s="9">
        <v>0</v>
      </c>
    </row>
    <row r="73" spans="1:28">
      <c r="A73" s="10">
        <v>39814</v>
      </c>
      <c r="B73" s="9">
        <v>0</v>
      </c>
      <c r="C73" s="9">
        <v>0</v>
      </c>
    </row>
    <row r="74" spans="1:28">
      <c r="A74" s="10">
        <v>39845</v>
      </c>
      <c r="B74" s="9">
        <v>0</v>
      </c>
      <c r="C74" s="9">
        <v>0</v>
      </c>
    </row>
    <row r="75" spans="1:28">
      <c r="A75" s="10">
        <v>39873</v>
      </c>
      <c r="B75" s="9">
        <v>0</v>
      </c>
      <c r="C75" s="9">
        <v>0</v>
      </c>
    </row>
    <row r="76" spans="1:28">
      <c r="A76" s="10">
        <v>39904</v>
      </c>
      <c r="B76" s="9">
        <v>40</v>
      </c>
      <c r="C76" s="9">
        <v>0.3</v>
      </c>
    </row>
    <row r="77" spans="1:28">
      <c r="A77" s="10">
        <v>39934</v>
      </c>
      <c r="B77" s="9">
        <v>59</v>
      </c>
      <c r="C77" s="9">
        <v>0</v>
      </c>
    </row>
    <row r="78" spans="1:28">
      <c r="A78" s="10">
        <v>39965</v>
      </c>
      <c r="B78" s="9">
        <v>81</v>
      </c>
      <c r="C78" s="9">
        <v>0</v>
      </c>
    </row>
    <row r="79" spans="1:28">
      <c r="A79" s="10">
        <v>39995</v>
      </c>
      <c r="B79" s="9">
        <v>159</v>
      </c>
      <c r="C79" s="9">
        <v>0.5</v>
      </c>
    </row>
    <row r="80" spans="1:28">
      <c r="A80" s="10">
        <v>40026</v>
      </c>
      <c r="B80" s="9">
        <v>236</v>
      </c>
      <c r="C80" s="9">
        <v>0</v>
      </c>
    </row>
    <row r="81" spans="1:31">
      <c r="A81" s="10">
        <v>40057</v>
      </c>
      <c r="B81" s="9">
        <v>63</v>
      </c>
      <c r="C81" s="9">
        <v>2</v>
      </c>
      <c r="S81" s="26"/>
      <c r="T81" s="16" t="s">
        <v>112</v>
      </c>
      <c r="U81" s="16"/>
      <c r="V81" s="16"/>
      <c r="W81" s="16"/>
      <c r="X81" s="16"/>
      <c r="Y81" s="16"/>
      <c r="Z81" s="16"/>
      <c r="AA81" s="16"/>
      <c r="AB81" s="16"/>
      <c r="AC81" s="16" t="s">
        <v>120</v>
      </c>
      <c r="AD81" s="16"/>
      <c r="AE81" s="17"/>
    </row>
    <row r="82" spans="1:31">
      <c r="S82" s="28"/>
      <c r="T82" s="19"/>
      <c r="U82" s="82" t="s">
        <v>99</v>
      </c>
      <c r="V82" s="82"/>
      <c r="W82" s="82"/>
      <c r="X82" s="19"/>
      <c r="Y82" s="19"/>
      <c r="Z82" s="19"/>
      <c r="AA82" s="19"/>
      <c r="AB82" s="19"/>
      <c r="AC82" s="19"/>
      <c r="AD82" s="19"/>
      <c r="AE82" s="20"/>
    </row>
    <row r="83" spans="1:31" ht="45">
      <c r="A83" s="9" t="s">
        <v>6</v>
      </c>
      <c r="B83" s="9" t="s">
        <v>7</v>
      </c>
      <c r="S83" s="28"/>
      <c r="T83" s="19"/>
      <c r="U83" s="73" t="s">
        <v>80</v>
      </c>
      <c r="V83" s="73" t="s">
        <v>81</v>
      </c>
      <c r="W83" s="73" t="s">
        <v>82</v>
      </c>
      <c r="X83" s="19"/>
      <c r="Y83" s="73" t="s">
        <v>118</v>
      </c>
      <c r="Z83" s="19"/>
      <c r="AA83" s="19"/>
      <c r="AB83" s="19"/>
      <c r="AC83" s="74" t="s">
        <v>119</v>
      </c>
      <c r="AD83" s="19"/>
      <c r="AE83" s="20"/>
    </row>
    <row r="84" spans="1:31">
      <c r="A84" s="9" t="s">
        <v>8</v>
      </c>
      <c r="B84" s="9" t="s">
        <v>9</v>
      </c>
      <c r="S84" s="28"/>
      <c r="T84" s="19"/>
      <c r="U84" s="75"/>
      <c r="V84" s="75"/>
      <c r="W84" s="75"/>
      <c r="X84" s="19" t="s">
        <v>115</v>
      </c>
      <c r="Y84" s="19"/>
      <c r="Z84" s="19"/>
      <c r="AA84" s="19" t="s">
        <v>115</v>
      </c>
      <c r="AB84" s="19"/>
      <c r="AC84" s="19"/>
      <c r="AD84" s="19"/>
      <c r="AE84" s="20"/>
    </row>
    <row r="85" spans="1:31">
      <c r="A85" s="9" t="s">
        <v>10</v>
      </c>
      <c r="B85" s="9" t="s">
        <v>11</v>
      </c>
      <c r="S85" s="28"/>
      <c r="T85" s="19"/>
      <c r="U85" s="76"/>
      <c r="V85" s="65"/>
      <c r="W85" s="65"/>
      <c r="X85" s="19" t="s">
        <v>35</v>
      </c>
      <c r="Y85" s="19" t="s">
        <v>116</v>
      </c>
      <c r="Z85" s="19"/>
      <c r="AA85" s="19" t="s">
        <v>125</v>
      </c>
      <c r="AB85" s="19"/>
      <c r="AC85" s="19"/>
      <c r="AD85" s="19"/>
      <c r="AE85" s="20"/>
    </row>
    <row r="86" spans="1:31">
      <c r="A86" s="9" t="s">
        <v>12</v>
      </c>
      <c r="B86" s="9" t="s">
        <v>36</v>
      </c>
      <c r="S86" s="28"/>
      <c r="T86" s="19"/>
      <c r="U86" s="66"/>
      <c r="V86" s="65"/>
      <c r="W86" s="65"/>
      <c r="X86" s="19" t="s">
        <v>113</v>
      </c>
      <c r="Y86" s="19" t="s">
        <v>114</v>
      </c>
      <c r="Z86" s="19" t="s">
        <v>117</v>
      </c>
      <c r="AA86" s="19"/>
      <c r="AB86" s="19"/>
      <c r="AC86" s="19"/>
      <c r="AD86" s="19"/>
      <c r="AE86" s="20"/>
    </row>
    <row r="87" spans="1:31">
      <c r="A87" s="9" t="s">
        <v>13</v>
      </c>
      <c r="B87" s="9" t="s">
        <v>37</v>
      </c>
      <c r="C87" s="9" t="s">
        <v>64</v>
      </c>
      <c r="S87" s="28"/>
      <c r="T87" s="19" t="s">
        <v>101</v>
      </c>
      <c r="U87" s="66"/>
      <c r="V87" s="65">
        <v>6</v>
      </c>
      <c r="W87" s="65">
        <v>422</v>
      </c>
      <c r="X87" s="29">
        <v>0</v>
      </c>
      <c r="Y87" s="29">
        <f>D47</f>
        <v>0.74956037106382967</v>
      </c>
      <c r="Z87" s="29">
        <f>R47</f>
        <v>0.12286799999999999</v>
      </c>
      <c r="AA87" s="29">
        <f>SUM(X87:Z87)</f>
        <v>0.87242837106382964</v>
      </c>
      <c r="AB87" s="19"/>
      <c r="AC87" s="29">
        <f>X87+'Energy Use'!$E$7*Y87+'Energy Use'!$E$5*Z87</f>
        <v>1.1674350947744678</v>
      </c>
      <c r="AD87" s="29"/>
      <c r="AE87" s="20"/>
    </row>
    <row r="88" spans="1:31">
      <c r="S88" s="28"/>
      <c r="T88" s="19" t="s">
        <v>102</v>
      </c>
      <c r="U88" s="66"/>
      <c r="V88" s="65">
        <v>0</v>
      </c>
      <c r="W88" s="65">
        <v>757</v>
      </c>
      <c r="X88" s="29">
        <f t="shared" ref="X88:X92" si="20">0.0722*W88-40.023</f>
        <v>14.632399999999997</v>
      </c>
      <c r="Y88" s="29">
        <f t="shared" ref="Y88:Y98" si="21">D48</f>
        <v>0.72538100425531904</v>
      </c>
      <c r="Z88" s="29">
        <f t="shared" ref="Z88:Z98" si="22">R48</f>
        <v>4.7781999999999998E-2</v>
      </c>
      <c r="AA88" s="29">
        <f t="shared" ref="AA88:AA98" si="23">SUM(X88:Z88)</f>
        <v>15.405563004255315</v>
      </c>
      <c r="AB88" s="19"/>
      <c r="AC88" s="29">
        <f>X88+'Energy Use'!$E$7*Y88+'Energy Use'!$E$5*Z88</f>
        <v>15.52462669429787</v>
      </c>
      <c r="AD88" s="29"/>
      <c r="AE88" s="20"/>
    </row>
    <row r="89" spans="1:31">
      <c r="A89" s="9" t="s">
        <v>14</v>
      </c>
      <c r="B89" s="9" t="s">
        <v>0</v>
      </c>
      <c r="C89" s="9" t="s">
        <v>15</v>
      </c>
      <c r="S89" s="28"/>
      <c r="T89" s="19" t="s">
        <v>103</v>
      </c>
      <c r="U89" s="66"/>
      <c r="V89" s="65">
        <v>0</v>
      </c>
      <c r="W89" s="65">
        <v>1005</v>
      </c>
      <c r="X89" s="29">
        <f t="shared" si="20"/>
        <v>32.538000000000004</v>
      </c>
      <c r="Y89" s="29">
        <f t="shared" si="21"/>
        <v>1.2952048321276597</v>
      </c>
      <c r="Z89" s="29">
        <f t="shared" si="22"/>
        <v>0.18430199999999999</v>
      </c>
      <c r="AA89" s="29">
        <f t="shared" si="23"/>
        <v>34.017506832127665</v>
      </c>
      <c r="AB89" s="19"/>
      <c r="AC89" s="29">
        <f>X89+'Energy Use'!$E$7*Y89+'Energy Use'!$E$5*Z89</f>
        <v>34.46172556044894</v>
      </c>
      <c r="AD89" s="29"/>
      <c r="AE89" s="20"/>
    </row>
    <row r="90" spans="1:31">
      <c r="A90" s="10">
        <v>39692</v>
      </c>
      <c r="B90" s="9">
        <v>150</v>
      </c>
      <c r="C90" s="9">
        <v>0</v>
      </c>
      <c r="S90" s="28"/>
      <c r="T90" s="19" t="s">
        <v>104</v>
      </c>
      <c r="U90" s="66"/>
      <c r="V90" s="65">
        <v>0</v>
      </c>
      <c r="W90" s="65">
        <v>1481</v>
      </c>
      <c r="X90" s="29">
        <f t="shared" si="20"/>
        <v>66.905200000000008</v>
      </c>
      <c r="Y90" s="29">
        <f t="shared" si="21"/>
        <v>1.8067465143749999</v>
      </c>
      <c r="Z90" s="29">
        <f t="shared" si="22"/>
        <v>3.0648739999999997</v>
      </c>
      <c r="AA90" s="29">
        <f t="shared" si="23"/>
        <v>71.776820514375004</v>
      </c>
      <c r="AB90" s="19"/>
      <c r="AC90" s="29">
        <f>X90+'Energy Use'!$E$7*Y90+'Energy Use'!$E$5*Z90</f>
        <v>78.966693139518753</v>
      </c>
      <c r="AD90" s="29"/>
      <c r="AE90" s="20"/>
    </row>
    <row r="91" spans="1:31">
      <c r="A91" s="10">
        <v>39722</v>
      </c>
      <c r="B91" s="9">
        <v>516</v>
      </c>
      <c r="C91" s="9">
        <v>0</v>
      </c>
      <c r="S91" s="28"/>
      <c r="T91" s="19" t="s">
        <v>105</v>
      </c>
      <c r="U91" s="66"/>
      <c r="V91" s="65">
        <v>0</v>
      </c>
      <c r="W91" s="65">
        <v>1121</v>
      </c>
      <c r="X91" s="29">
        <f t="shared" si="20"/>
        <v>40.913199999999996</v>
      </c>
      <c r="Y91" s="29">
        <f t="shared" si="21"/>
        <v>1.5794686491964287</v>
      </c>
      <c r="Z91" s="29">
        <f t="shared" si="22"/>
        <v>2.3447309999999999</v>
      </c>
      <c r="AA91" s="29">
        <f t="shared" si="23"/>
        <v>44.837399649196428</v>
      </c>
      <c r="AB91" s="19"/>
      <c r="AC91" s="29">
        <f>X91+'Energy Use'!$E$7*Y91+'Energy Use'!$E$5*Z91</f>
        <v>50.339864875688392</v>
      </c>
      <c r="AD91" s="29"/>
      <c r="AE91" s="20"/>
    </row>
    <row r="92" spans="1:31">
      <c r="A92" s="10">
        <v>39753</v>
      </c>
      <c r="B92" s="9">
        <v>773</v>
      </c>
      <c r="C92" s="9">
        <v>0</v>
      </c>
      <c r="S92" s="28"/>
      <c r="T92" s="19" t="s">
        <v>106</v>
      </c>
      <c r="U92" s="66"/>
      <c r="V92" s="65">
        <v>0</v>
      </c>
      <c r="W92" s="65">
        <v>749</v>
      </c>
      <c r="X92" s="29">
        <f t="shared" si="20"/>
        <v>14.0548</v>
      </c>
      <c r="Y92" s="29">
        <f t="shared" si="21"/>
        <v>1.6589852164285714</v>
      </c>
      <c r="Z92" s="29">
        <f t="shared" si="22"/>
        <v>0.317409</v>
      </c>
      <c r="AA92" s="29">
        <f t="shared" si="23"/>
        <v>16.031194216428574</v>
      </c>
      <c r="AB92" s="19"/>
      <c r="AC92" s="29">
        <f>X92+'Energy Use'!$E$7*Y92+'Energy Use'!$E$5*Z92</f>
        <v>16.790521128592857</v>
      </c>
      <c r="AD92" s="29"/>
      <c r="AE92" s="20"/>
    </row>
    <row r="93" spans="1:31">
      <c r="A93" s="10">
        <v>39783</v>
      </c>
      <c r="B93" s="9">
        <v>1059</v>
      </c>
      <c r="C93" s="9">
        <v>0</v>
      </c>
      <c r="S93" s="28"/>
      <c r="T93" s="19" t="s">
        <v>107</v>
      </c>
      <c r="U93" s="66"/>
      <c r="V93" s="65">
        <v>0</v>
      </c>
      <c r="W93" s="65">
        <v>566</v>
      </c>
      <c r="X93" s="29">
        <f t="shared" ref="X93:X98" si="24">K53</f>
        <v>0</v>
      </c>
      <c r="Y93" s="29">
        <f t="shared" si="21"/>
        <v>1.5102102362068968</v>
      </c>
      <c r="Z93" s="29">
        <f t="shared" si="22"/>
        <v>0.24914899999999998</v>
      </c>
      <c r="AA93" s="29">
        <f t="shared" si="23"/>
        <v>1.7593592362068968</v>
      </c>
      <c r="AB93" s="19"/>
      <c r="AC93" s="29">
        <f>X93+'Energy Use'!$E$7*Y93+'Energy Use'!$E$5*Z93</f>
        <v>2.3574699985689658</v>
      </c>
      <c r="AD93" s="29"/>
      <c r="AE93" s="20"/>
    </row>
    <row r="94" spans="1:31">
      <c r="A94" s="10">
        <v>39814</v>
      </c>
      <c r="B94" s="9">
        <v>1407</v>
      </c>
      <c r="C94" s="9">
        <v>0</v>
      </c>
      <c r="S94" s="28"/>
      <c r="T94" s="19" t="s">
        <v>108</v>
      </c>
      <c r="U94" s="66"/>
      <c r="V94" s="65">
        <v>11</v>
      </c>
      <c r="W94" s="65">
        <v>237</v>
      </c>
      <c r="X94" s="29">
        <f t="shared" si="24"/>
        <v>0</v>
      </c>
      <c r="Y94" s="29">
        <f t="shared" si="21"/>
        <v>1.4744202682758618</v>
      </c>
      <c r="Z94" s="29">
        <f t="shared" si="22"/>
        <v>0.23208399999999998</v>
      </c>
      <c r="AA94" s="29">
        <f t="shared" si="23"/>
        <v>1.7065042682758618</v>
      </c>
      <c r="AB94" s="19"/>
      <c r="AC94" s="29">
        <f>X94+'Energy Use'!$E$7*Y94+'Energy Use'!$E$5*Z94</f>
        <v>2.2643250309586205</v>
      </c>
      <c r="AD94" s="29"/>
      <c r="AE94" s="20"/>
    </row>
    <row r="95" spans="1:31">
      <c r="A95" s="10">
        <v>39845</v>
      </c>
      <c r="B95" s="9">
        <v>1017</v>
      </c>
      <c r="C95" s="9">
        <v>0</v>
      </c>
      <c r="S95" s="28"/>
      <c r="T95" s="19" t="s">
        <v>109</v>
      </c>
      <c r="U95" s="66"/>
      <c r="V95" s="65">
        <v>109</v>
      </c>
      <c r="W95" s="65">
        <v>82</v>
      </c>
      <c r="X95" s="29">
        <f t="shared" si="24"/>
        <v>0</v>
      </c>
      <c r="Y95" s="29">
        <f t="shared" si="21"/>
        <v>1.1254767169458129</v>
      </c>
      <c r="Z95" s="29">
        <f t="shared" si="22"/>
        <v>0.156998</v>
      </c>
      <c r="AA95" s="29">
        <f t="shared" si="23"/>
        <v>1.2824747169458128</v>
      </c>
      <c r="AB95" s="19"/>
      <c r="AC95" s="29">
        <f>X95+'Energy Use'!$E$7*Y95+'Energy Use'!$E$5*Z95</f>
        <v>1.6611048041152707</v>
      </c>
      <c r="AD95" s="29"/>
      <c r="AE95" s="20"/>
    </row>
    <row r="96" spans="1:31">
      <c r="A96" s="10">
        <v>39873</v>
      </c>
      <c r="B96" s="9">
        <v>890</v>
      </c>
      <c r="C96" s="9">
        <v>0</v>
      </c>
      <c r="S96" s="28"/>
      <c r="T96" s="19" t="s">
        <v>110</v>
      </c>
      <c r="U96" s="66"/>
      <c r="V96" s="65">
        <v>95</v>
      </c>
      <c r="W96" s="65">
        <v>11</v>
      </c>
      <c r="X96" s="29">
        <f t="shared" si="24"/>
        <v>0</v>
      </c>
      <c r="Y96" s="29">
        <f t="shared" si="21"/>
        <v>0.98269238285714289</v>
      </c>
      <c r="Z96" s="29">
        <f t="shared" si="22"/>
        <v>0.146759</v>
      </c>
      <c r="AA96" s="29">
        <f t="shared" si="23"/>
        <v>1.1294513828571429</v>
      </c>
      <c r="AB96" s="19"/>
      <c r="AC96" s="29">
        <f>X96+'Energy Use'!$E$7*Y96+'Energy Use'!$E$5*Z96</f>
        <v>1.4826943666857142</v>
      </c>
      <c r="AD96" s="29"/>
      <c r="AE96" s="20"/>
    </row>
    <row r="97" spans="1:31">
      <c r="A97" s="10">
        <v>39904</v>
      </c>
      <c r="B97" s="9">
        <v>478</v>
      </c>
      <c r="C97" s="9">
        <v>0.3</v>
      </c>
      <c r="S97" s="28"/>
      <c r="T97" s="19" t="s">
        <v>100</v>
      </c>
      <c r="U97" s="66"/>
      <c r="V97" s="65">
        <v>207</v>
      </c>
      <c r="W97" s="65">
        <v>8</v>
      </c>
      <c r="X97" s="29">
        <f t="shared" si="24"/>
        <v>0</v>
      </c>
      <c r="Y97" s="29">
        <f t="shared" si="21"/>
        <v>0.98269238285714289</v>
      </c>
      <c r="Z97" s="29">
        <f t="shared" si="22"/>
        <v>0.18771499999999999</v>
      </c>
      <c r="AA97" s="29">
        <f t="shared" si="23"/>
        <v>1.1704073828571429</v>
      </c>
      <c r="AB97" s="19"/>
      <c r="AC97" s="29">
        <f>X97+'Energy Use'!$E$7*Y97+'Energy Use'!$E$5*Z97</f>
        <v>1.6194874066857143</v>
      </c>
      <c r="AD97" s="29"/>
      <c r="AE97" s="20"/>
    </row>
    <row r="98" spans="1:31">
      <c r="A98" s="10">
        <v>39934</v>
      </c>
      <c r="B98" s="9">
        <v>260</v>
      </c>
      <c r="C98" s="9">
        <v>0</v>
      </c>
      <c r="S98" s="28"/>
      <c r="T98" s="19" t="s">
        <v>111</v>
      </c>
      <c r="U98" s="66"/>
      <c r="V98" s="65">
        <v>72</v>
      </c>
      <c r="W98" s="65">
        <v>77</v>
      </c>
      <c r="X98" s="29">
        <f t="shared" si="24"/>
        <v>0</v>
      </c>
      <c r="Y98" s="29">
        <f t="shared" si="21"/>
        <v>0.95099262857142863</v>
      </c>
      <c r="Z98" s="29">
        <f t="shared" si="22"/>
        <v>0.24573599999999998</v>
      </c>
      <c r="AA98" s="29">
        <f t="shared" si="23"/>
        <v>1.1967286285714287</v>
      </c>
      <c r="AB98" s="19"/>
      <c r="AC98" s="29">
        <f>X98+'Energy Use'!$E$7*Y98+'Energy Use'!$E$5*Z98</f>
        <v>1.7812607948571428</v>
      </c>
      <c r="AD98" s="29"/>
      <c r="AE98" s="20"/>
    </row>
    <row r="99" spans="1:31">
      <c r="A99" s="10">
        <v>39965</v>
      </c>
      <c r="B99" s="9">
        <v>95</v>
      </c>
      <c r="C99" s="9">
        <v>0</v>
      </c>
      <c r="S99" s="28"/>
      <c r="T99" s="19"/>
      <c r="U99" s="66"/>
      <c r="V99" s="65"/>
      <c r="W99" s="65">
        <f>SUM(W87:W98)</f>
        <v>6516</v>
      </c>
      <c r="X99" s="19"/>
      <c r="Y99" s="19"/>
      <c r="Z99" s="29"/>
      <c r="AA99" s="29">
        <f>SUM(AA87:AA98)</f>
        <v>191.18583820316113</v>
      </c>
      <c r="AB99" s="19"/>
      <c r="AC99" s="29">
        <f>SUM(AC87:AC98)</f>
        <v>208.41720889519269</v>
      </c>
      <c r="AD99" s="29"/>
      <c r="AE99" s="20"/>
    </row>
    <row r="100" spans="1:31">
      <c r="A100" s="10">
        <v>39995</v>
      </c>
      <c r="B100" s="9">
        <v>52</v>
      </c>
      <c r="C100" s="9">
        <v>0.5</v>
      </c>
      <c r="S100" s="34"/>
      <c r="T100" s="22"/>
      <c r="U100" s="22"/>
      <c r="V100" s="22"/>
      <c r="W100" s="22"/>
      <c r="X100" s="35"/>
      <c r="Y100" s="35"/>
      <c r="Z100" s="22"/>
      <c r="AA100" s="22"/>
      <c r="AB100" s="22"/>
      <c r="AC100" s="22"/>
      <c r="AD100" s="22"/>
      <c r="AE100" s="23"/>
    </row>
    <row r="101" spans="1:31">
      <c r="A101" s="10">
        <v>40026</v>
      </c>
      <c r="B101" s="9">
        <v>40</v>
      </c>
      <c r="C101" s="9">
        <v>0</v>
      </c>
    </row>
    <row r="102" spans="1:31">
      <c r="A102" s="10">
        <v>40057</v>
      </c>
      <c r="B102" s="9">
        <v>200</v>
      </c>
      <c r="C102" s="9">
        <v>2</v>
      </c>
      <c r="X102" s="72"/>
      <c r="Y102" s="72"/>
    </row>
  </sheetData>
  <mergeCells count="2">
    <mergeCell ref="N44:O44"/>
    <mergeCell ref="U82:W8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78"/>
  <sheetViews>
    <sheetView topLeftCell="A43" workbookViewId="0">
      <selection activeCell="P64" sqref="P64"/>
    </sheetView>
  </sheetViews>
  <sheetFormatPr defaultRowHeight="15"/>
  <cols>
    <col min="1" max="1" width="10.42578125" bestFit="1" customWidth="1"/>
    <col min="2" max="2" width="11.5703125" bestFit="1" customWidth="1"/>
    <col min="6" max="6" width="10.42578125" bestFit="1" customWidth="1"/>
  </cols>
  <sheetData>
    <row r="2" spans="1:8">
      <c r="B2" s="9" t="s">
        <v>31</v>
      </c>
      <c r="E2" s="11"/>
      <c r="F2" s="9" t="s">
        <v>42</v>
      </c>
      <c r="H2">
        <f>91.6476/1000</f>
        <v>9.1647599999999996E-2</v>
      </c>
    </row>
    <row r="3" spans="1:8">
      <c r="B3" s="9" t="s">
        <v>32</v>
      </c>
      <c r="C3" s="9" t="s">
        <v>55</v>
      </c>
    </row>
    <row r="4" spans="1:8">
      <c r="D4" s="9" t="s">
        <v>38</v>
      </c>
    </row>
    <row r="5" spans="1:8">
      <c r="B5" s="9" t="s">
        <v>34</v>
      </c>
      <c r="C5" s="9" t="s">
        <v>35</v>
      </c>
      <c r="D5" t="s">
        <v>0</v>
      </c>
    </row>
    <row r="6" spans="1:8" s="9" customFormat="1">
      <c r="A6" s="9" t="s">
        <v>46</v>
      </c>
    </row>
    <row r="7" spans="1:8" s="9" customFormat="1">
      <c r="A7" s="1">
        <v>40148</v>
      </c>
      <c r="B7" s="24">
        <f>G47</f>
        <v>10.722510822510824</v>
      </c>
      <c r="C7" s="14">
        <f>B7*H2</f>
        <v>0.98269238285714289</v>
      </c>
      <c r="D7" s="3">
        <f>HDD!B12</f>
        <v>1125</v>
      </c>
    </row>
    <row r="8" spans="1:8" s="9" customFormat="1">
      <c r="A8" s="1">
        <v>40179</v>
      </c>
      <c r="B8" s="24">
        <f>G48</f>
        <v>16.208252740167634</v>
      </c>
      <c r="C8" s="14">
        <f>B8*H2</f>
        <v>1.4854474638297872</v>
      </c>
      <c r="D8" s="3">
        <f>HDD!B13</f>
        <v>1199</v>
      </c>
    </row>
    <row r="9" spans="1:8" s="9" customFormat="1">
      <c r="A9" s="1">
        <v>40210</v>
      </c>
      <c r="B9" s="24">
        <f t="shared" ref="B9:B38" si="0">G49</f>
        <v>60.885106382978719</v>
      </c>
      <c r="C9" s="14">
        <f>B9*H2</f>
        <v>5.5799738757446802</v>
      </c>
      <c r="D9" s="3">
        <f>HDD!B14</f>
        <v>997</v>
      </c>
    </row>
    <row r="10" spans="1:8" s="9" customFormat="1">
      <c r="A10" s="1">
        <v>40238</v>
      </c>
      <c r="B10" s="24">
        <f t="shared" si="0"/>
        <v>45.033676861702126</v>
      </c>
      <c r="C10" s="14">
        <f>B10*H2</f>
        <v>4.1272284035505313</v>
      </c>
      <c r="D10" s="3">
        <f>HDD!B15</f>
        <v>698</v>
      </c>
    </row>
    <row r="11" spans="1:8" s="9" customFormat="1">
      <c r="A11" s="1">
        <v>40269</v>
      </c>
      <c r="B11" s="24">
        <f t="shared" si="0"/>
        <v>20.484375</v>
      </c>
      <c r="C11" s="14">
        <f>B11*H2</f>
        <v>1.8773438062499999</v>
      </c>
      <c r="D11" s="3">
        <f>HDD!B16</f>
        <v>404</v>
      </c>
    </row>
    <row r="12" spans="1:8" s="9" customFormat="1">
      <c r="A12" s="1">
        <v>40299</v>
      </c>
      <c r="B12" s="24">
        <f t="shared" si="0"/>
        <v>15.092187500000001</v>
      </c>
      <c r="C12" s="14">
        <f>B12*H2</f>
        <v>1.3831627631250001</v>
      </c>
      <c r="D12" s="3">
        <f>HDD!B17</f>
        <v>216</v>
      </c>
    </row>
    <row r="13" spans="1:8" s="9" customFormat="1">
      <c r="A13" s="1">
        <v>40330</v>
      </c>
      <c r="B13" s="24">
        <f t="shared" si="0"/>
        <v>5.296875</v>
      </c>
      <c r="C13" s="14">
        <f>B13*H2</f>
        <v>0.48544588124999999</v>
      </c>
      <c r="D13" s="3">
        <f>HDD!B18</f>
        <v>63</v>
      </c>
    </row>
    <row r="14" spans="1:8" s="9" customFormat="1">
      <c r="A14" s="1">
        <v>40360</v>
      </c>
      <c r="B14" s="24">
        <f t="shared" si="0"/>
        <v>7.2843750000000007</v>
      </c>
      <c r="C14" s="14">
        <f>B14*H2</f>
        <v>0.66759548624999998</v>
      </c>
      <c r="D14" s="3">
        <f>HDD!B19</f>
        <v>20</v>
      </c>
    </row>
    <row r="15" spans="1:8" s="9" customFormat="1">
      <c r="A15" s="1">
        <v>40391</v>
      </c>
      <c r="B15" s="24">
        <f t="shared" si="0"/>
        <v>11.71111111111111</v>
      </c>
      <c r="C15" s="14">
        <f>B15*H2</f>
        <v>1.0732952266666667</v>
      </c>
      <c r="D15" s="3">
        <f>HDD!B20</f>
        <v>33</v>
      </c>
    </row>
    <row r="16" spans="1:8" s="9" customFormat="1">
      <c r="A16" s="1">
        <v>40422</v>
      </c>
      <c r="B16" s="24">
        <f t="shared" si="0"/>
        <v>11.333333333333332</v>
      </c>
      <c r="C16" s="14">
        <f>B16*H2</f>
        <v>1.0386727999999998</v>
      </c>
      <c r="D16" s="3">
        <f>HDD!B21</f>
        <v>98</v>
      </c>
    </row>
    <row r="17" spans="1:4" s="9" customFormat="1">
      <c r="A17" s="1">
        <v>40452</v>
      </c>
      <c r="B17" s="24">
        <f t="shared" si="0"/>
        <v>24.448412698412696</v>
      </c>
      <c r="C17" s="14">
        <f>B17*H2</f>
        <v>2.2406383476190475</v>
      </c>
      <c r="D17" s="3">
        <f>HDD!B22</f>
        <v>407</v>
      </c>
    </row>
    <row r="18" spans="1:4" s="9" customFormat="1">
      <c r="A18" s="1">
        <v>40483</v>
      </c>
      <c r="B18" s="24">
        <f t="shared" si="0"/>
        <v>46.071428571428577</v>
      </c>
      <c r="C18" s="14">
        <f>B18*H2</f>
        <v>4.2223358571428573</v>
      </c>
      <c r="D18" s="3">
        <f>HDD!B23</f>
        <v>708</v>
      </c>
    </row>
    <row r="19" spans="1:4">
      <c r="A19" s="1">
        <v>40513</v>
      </c>
      <c r="B19" s="24">
        <f t="shared" si="0"/>
        <v>62.565126050420176</v>
      </c>
      <c r="C19" s="14">
        <f>B19*H2</f>
        <v>5.7339436462184876</v>
      </c>
      <c r="D19" s="3">
        <f>HDD!B24</f>
        <v>1130</v>
      </c>
    </row>
    <row r="20" spans="1:4">
      <c r="A20" s="1">
        <v>40544</v>
      </c>
      <c r="B20" s="24">
        <f t="shared" si="0"/>
        <v>74.649159663865547</v>
      </c>
      <c r="C20" s="14">
        <f>B20*H2</f>
        <v>6.8414163252100835</v>
      </c>
      <c r="D20" s="3">
        <f>HDD!B25</f>
        <v>1309</v>
      </c>
    </row>
    <row r="21" spans="1:4">
      <c r="A21" s="1">
        <v>40575</v>
      </c>
      <c r="B21" s="24">
        <f t="shared" si="0"/>
        <v>57.282539682539692</v>
      </c>
      <c r="C21" s="14">
        <f>B21*H2</f>
        <v>5.2498072838095249</v>
      </c>
      <c r="D21" s="3">
        <f>HDD!B26</f>
        <v>1080</v>
      </c>
    </row>
    <row r="22" spans="1:4">
      <c r="A22" s="1">
        <v>40603</v>
      </c>
      <c r="B22" s="24">
        <f t="shared" si="0"/>
        <v>46.720707070707078</v>
      </c>
      <c r="C22" s="14">
        <f>B22*H2</f>
        <v>4.2818406733333338</v>
      </c>
      <c r="D22" s="3">
        <f>HDD!B27</f>
        <v>883</v>
      </c>
    </row>
    <row r="23" spans="1:4">
      <c r="A23" s="1">
        <v>40634</v>
      </c>
      <c r="B23" s="24">
        <f t="shared" si="0"/>
        <v>26.18181818181818</v>
      </c>
      <c r="C23" s="14">
        <f>B23*H2</f>
        <v>2.3995007999999998</v>
      </c>
      <c r="D23" s="3">
        <f>HDD!B28</f>
        <v>471</v>
      </c>
    </row>
    <row r="24" spans="1:4">
      <c r="A24" s="1">
        <v>40664</v>
      </c>
      <c r="B24" s="24">
        <f t="shared" si="0"/>
        <v>11.088636363636365</v>
      </c>
      <c r="C24" s="14">
        <f>B24*H2</f>
        <v>1.01624691</v>
      </c>
      <c r="D24" s="3">
        <f>HDD!B29</f>
        <v>189</v>
      </c>
    </row>
    <row r="25" spans="1:4">
      <c r="A25" s="1">
        <v>40695</v>
      </c>
      <c r="B25" s="24">
        <f t="shared" si="0"/>
        <v>7.0227272727272734</v>
      </c>
      <c r="C25" s="14">
        <f>B25*H2</f>
        <v>0.64361610000000002</v>
      </c>
      <c r="D25" s="3">
        <f>HDD!B30</f>
        <v>69</v>
      </c>
    </row>
    <row r="26" spans="1:4">
      <c r="A26" s="1">
        <v>40725</v>
      </c>
      <c r="B26" s="24">
        <f t="shared" si="0"/>
        <v>7.2568181818181818</v>
      </c>
      <c r="C26" s="14">
        <f>B26*H2</f>
        <v>0.66506997000000001</v>
      </c>
      <c r="D26" s="3">
        <f>HDD!B31</f>
        <v>16</v>
      </c>
    </row>
    <row r="27" spans="1:4">
      <c r="A27" s="1">
        <v>40756</v>
      </c>
      <c r="B27" s="24">
        <f>H67</f>
        <v>8.9087347155768217</v>
      </c>
      <c r="C27" s="14">
        <f>B27*H2</f>
        <v>0.81646415571929831</v>
      </c>
      <c r="D27" s="3">
        <f>HDD!B32</f>
        <v>34</v>
      </c>
    </row>
    <row r="28" spans="1:4">
      <c r="A28" s="1">
        <v>40787</v>
      </c>
      <c r="B28" s="24">
        <f>H68</f>
        <v>10.468239633173845</v>
      </c>
      <c r="C28" s="14">
        <f>B28*H2</f>
        <v>0.95938903860526314</v>
      </c>
      <c r="D28" s="3">
        <f>HDD!B33</f>
        <v>87</v>
      </c>
    </row>
    <row r="29" spans="1:4">
      <c r="A29" s="1">
        <v>40817</v>
      </c>
      <c r="B29" s="24">
        <f>H69</f>
        <v>23.552557814992028</v>
      </c>
      <c r="C29" s="14">
        <f>B29*H2</f>
        <v>2.1585353976052635</v>
      </c>
      <c r="D29" s="3">
        <f>HDD!B34</f>
        <v>429</v>
      </c>
    </row>
    <row r="30" spans="1:4">
      <c r="A30" s="1">
        <v>40848</v>
      </c>
      <c r="B30" s="24">
        <f>H70</f>
        <v>36.985588429949331</v>
      </c>
      <c r="C30" s="14">
        <f>B30*H2</f>
        <v>3.3896404141926242</v>
      </c>
      <c r="D30" s="3">
        <f>HDD!B35</f>
        <v>610</v>
      </c>
    </row>
    <row r="31" spans="1:4">
      <c r="A31" s="1">
        <v>40878</v>
      </c>
      <c r="B31" s="24">
        <f t="shared" si="0"/>
        <v>56.179591836734694</v>
      </c>
      <c r="C31" s="14">
        <f>B31*H2</f>
        <v>5.148724760816326</v>
      </c>
      <c r="D31" s="3">
        <f>HDD!B36</f>
        <v>906</v>
      </c>
    </row>
    <row r="32" spans="1:4">
      <c r="A32" s="1">
        <v>40909</v>
      </c>
      <c r="B32" s="24">
        <f t="shared" si="0"/>
        <v>67.480612244897955</v>
      </c>
      <c r="C32" s="14">
        <f>B32*H2</f>
        <v>6.1844361587755099</v>
      </c>
      <c r="D32" s="3">
        <f>HDD!B37</f>
        <v>1071</v>
      </c>
    </row>
    <row r="33" spans="1:8">
      <c r="A33" s="1">
        <v>40940</v>
      </c>
      <c r="B33" s="24">
        <f t="shared" si="0"/>
        <v>57.05649350649351</v>
      </c>
      <c r="C33" s="14">
        <f>B33*H2</f>
        <v>5.2290906942857145</v>
      </c>
      <c r="D33" s="3">
        <f>HDD!B38</f>
        <v>890</v>
      </c>
    </row>
    <row r="34" spans="1:8">
      <c r="A34" s="1">
        <v>40969</v>
      </c>
      <c r="B34" s="24">
        <f t="shared" si="0"/>
        <v>36.072727272727278</v>
      </c>
      <c r="C34" s="14">
        <f>B34*H2</f>
        <v>3.3059788800000005</v>
      </c>
      <c r="D34" s="3">
        <f>HDD!B39</f>
        <v>626</v>
      </c>
    </row>
    <row r="35" spans="1:8">
      <c r="A35" s="1">
        <v>41000</v>
      </c>
      <c r="B35" s="24">
        <f t="shared" si="0"/>
        <v>18.009350649350651</v>
      </c>
      <c r="C35" s="14">
        <f>B35*H2</f>
        <v>1.6505137645714287</v>
      </c>
      <c r="D35" s="3">
        <f>HDD!B40</f>
        <v>441</v>
      </c>
    </row>
    <row r="36" spans="1:8">
      <c r="A36" s="1">
        <v>41030</v>
      </c>
      <c r="B36" s="24">
        <f t="shared" si="0"/>
        <v>6.7428571428571429</v>
      </c>
      <c r="C36" s="14">
        <f>B36*H2</f>
        <v>0.61796667428571428</v>
      </c>
      <c r="D36" s="3">
        <f>HDD!B41</f>
        <v>160</v>
      </c>
    </row>
    <row r="37" spans="1:8">
      <c r="A37" s="1">
        <v>41061</v>
      </c>
      <c r="B37" s="24">
        <f t="shared" si="0"/>
        <v>6.9676190476190483</v>
      </c>
      <c r="C37" s="14">
        <f>B37*H2</f>
        <v>0.6385655634285714</v>
      </c>
      <c r="D37" s="3">
        <f>HDD!B42</f>
        <v>87</v>
      </c>
    </row>
    <row r="38" spans="1:8">
      <c r="A38" s="1">
        <v>41091</v>
      </c>
      <c r="B38" s="24">
        <f t="shared" si="0"/>
        <v>6.9676190476190483</v>
      </c>
      <c r="C38" s="14">
        <f>B38*H2</f>
        <v>0.6385655634285714</v>
      </c>
      <c r="D38" s="3">
        <f>HDD!B43</f>
        <v>15</v>
      </c>
    </row>
    <row r="39" spans="1:8">
      <c r="A39" s="1"/>
      <c r="B39" s="25"/>
      <c r="C39" s="2">
        <f t="shared" ref="C39" si="1">B39*1.04</f>
        <v>0</v>
      </c>
      <c r="D39" s="3">
        <f>HDD!B44</f>
        <v>0</v>
      </c>
    </row>
    <row r="40" spans="1:8">
      <c r="B40" s="25"/>
      <c r="D40" s="3">
        <f>HDD!B45</f>
        <v>0</v>
      </c>
    </row>
    <row r="43" spans="1:8">
      <c r="B43" s="9" t="s">
        <v>43</v>
      </c>
      <c r="F43" s="9" t="s">
        <v>47</v>
      </c>
    </row>
    <row r="44" spans="1:8">
      <c r="A44" s="9" t="s">
        <v>44</v>
      </c>
      <c r="B44" s="9" t="s">
        <v>45</v>
      </c>
      <c r="D44" s="9" t="s">
        <v>33</v>
      </c>
    </row>
    <row r="45" spans="1:8">
      <c r="A45" s="1">
        <v>39703</v>
      </c>
      <c r="B45" s="3">
        <v>18.100000000000001</v>
      </c>
      <c r="C45" s="9"/>
      <c r="F45" s="1"/>
    </row>
    <row r="46" spans="1:8">
      <c r="A46" s="1">
        <v>39797</v>
      </c>
      <c r="B46">
        <v>24.8</v>
      </c>
      <c r="D46">
        <f>B46/(A46-A45)</f>
        <v>0.26382978723404255</v>
      </c>
      <c r="F46" s="1">
        <v>40147</v>
      </c>
      <c r="G46" s="9"/>
    </row>
    <row r="47" spans="1:8">
      <c r="A47" s="1">
        <v>39861</v>
      </c>
      <c r="B47">
        <v>40.700000000000003</v>
      </c>
      <c r="D47" s="9">
        <f t="shared" ref="D47:D66" si="2">B47/(A47-A46)</f>
        <v>0.63593750000000004</v>
      </c>
      <c r="F47" s="1">
        <v>40178</v>
      </c>
      <c r="G47" s="9">
        <f>D50*(F47-F46)</f>
        <v>10.722510822510824</v>
      </c>
      <c r="H47" s="9" t="s">
        <v>89</v>
      </c>
    </row>
    <row r="48" spans="1:8">
      <c r="A48" s="1">
        <v>39917</v>
      </c>
      <c r="B48">
        <v>32.700000000000003</v>
      </c>
      <c r="D48" s="9">
        <f t="shared" si="2"/>
        <v>0.58392857142857146</v>
      </c>
      <c r="F48" s="1">
        <v>40209</v>
      </c>
      <c r="G48">
        <f>D50*(A50-F47)+D51*(F48-A50)</f>
        <v>16.208252740167634</v>
      </c>
      <c r="H48" s="9" t="s">
        <v>90</v>
      </c>
    </row>
    <row r="49" spans="1:16">
      <c r="A49" s="1">
        <v>39975</v>
      </c>
      <c r="B49">
        <v>30.1</v>
      </c>
      <c r="D49" s="9">
        <f t="shared" si="2"/>
        <v>0.51896551724137929</v>
      </c>
      <c r="F49" s="1">
        <v>40237</v>
      </c>
      <c r="G49">
        <f>D51*(F49-F48)</f>
        <v>60.885106382978719</v>
      </c>
    </row>
    <row r="50" spans="1:16">
      <c r="A50" s="1">
        <v>40206</v>
      </c>
      <c r="B50">
        <v>79.900000000000006</v>
      </c>
      <c r="D50" s="9">
        <f t="shared" si="2"/>
        <v>0.34588744588744591</v>
      </c>
      <c r="F50" s="1">
        <v>40268</v>
      </c>
      <c r="G50">
        <f>D52*(F50-A51)+D51*(A51-F49)</f>
        <v>45.033676861702126</v>
      </c>
    </row>
    <row r="51" spans="1:16">
      <c r="A51" s="1">
        <v>40253</v>
      </c>
      <c r="B51">
        <v>102.2</v>
      </c>
      <c r="D51" s="9">
        <f t="shared" si="2"/>
        <v>2.1744680851063829</v>
      </c>
      <c r="F51" s="1">
        <v>40298</v>
      </c>
      <c r="G51">
        <f>D52*(F51-F50)</f>
        <v>20.484375</v>
      </c>
    </row>
    <row r="52" spans="1:16">
      <c r="A52" s="1">
        <v>40317</v>
      </c>
      <c r="B52">
        <v>43.7</v>
      </c>
      <c r="D52" s="9">
        <f t="shared" si="2"/>
        <v>0.68281250000000004</v>
      </c>
      <c r="F52" s="1">
        <v>40329</v>
      </c>
      <c r="G52">
        <f>D53*(F52-A52)+D52*(A52-F51)</f>
        <v>15.092187500000001</v>
      </c>
    </row>
    <row r="53" spans="1:16">
      <c r="A53" s="1">
        <v>40381</v>
      </c>
      <c r="B53">
        <v>11.3</v>
      </c>
      <c r="D53" s="9">
        <f t="shared" si="2"/>
        <v>0.17656250000000001</v>
      </c>
      <c r="F53" s="1">
        <v>40359</v>
      </c>
      <c r="G53">
        <f>D53*(F53-F52)</f>
        <v>5.296875</v>
      </c>
    </row>
    <row r="54" spans="1:16">
      <c r="A54" s="1">
        <v>40471</v>
      </c>
      <c r="B54">
        <v>34</v>
      </c>
      <c r="D54" s="9">
        <f t="shared" si="2"/>
        <v>0.37777777777777777</v>
      </c>
      <c r="F54" s="1">
        <v>40390</v>
      </c>
      <c r="G54">
        <f>D54*(F54-A53)+D53*(A53-F53)</f>
        <v>7.2843750000000007</v>
      </c>
    </row>
    <row r="55" spans="1:16">
      <c r="A55" s="1">
        <v>40527</v>
      </c>
      <c r="B55">
        <v>86</v>
      </c>
      <c r="D55" s="9">
        <f t="shared" si="2"/>
        <v>1.5357142857142858</v>
      </c>
      <c r="F55" s="1">
        <v>40421</v>
      </c>
      <c r="G55">
        <f>D54*(F55-F54)</f>
        <v>11.71111111111111</v>
      </c>
    </row>
    <row r="56" spans="1:16">
      <c r="A56" s="1">
        <v>40561</v>
      </c>
      <c r="B56">
        <v>84</v>
      </c>
      <c r="D56" s="9">
        <f t="shared" si="2"/>
        <v>2.4705882352941178</v>
      </c>
      <c r="F56" s="1">
        <v>40451</v>
      </c>
      <c r="G56">
        <f>D54*(F56-F55)</f>
        <v>11.333333333333332</v>
      </c>
    </row>
    <row r="57" spans="1:16">
      <c r="A57" s="1">
        <v>40589</v>
      </c>
      <c r="B57">
        <v>65</v>
      </c>
      <c r="D57" s="9">
        <f t="shared" si="2"/>
        <v>2.3214285714285716</v>
      </c>
      <c r="F57" s="1">
        <v>40482</v>
      </c>
      <c r="G57">
        <f>D55*(F57-A54)+D54*(A54-F56)</f>
        <v>24.448412698412696</v>
      </c>
    </row>
    <row r="58" spans="1:16">
      <c r="A58" s="1">
        <v>40625</v>
      </c>
      <c r="B58">
        <v>62.2</v>
      </c>
      <c r="D58" s="9">
        <f t="shared" si="2"/>
        <v>1.7277777777777779</v>
      </c>
      <c r="F58" s="1">
        <v>40512</v>
      </c>
      <c r="G58">
        <f>D55*(F58-F57)</f>
        <v>46.071428571428577</v>
      </c>
    </row>
    <row r="59" spans="1:16">
      <c r="A59" s="1">
        <v>40669</v>
      </c>
      <c r="B59">
        <v>38.4</v>
      </c>
      <c r="D59" s="9">
        <f t="shared" si="2"/>
        <v>0.87272727272727268</v>
      </c>
      <c r="F59" s="1">
        <v>40543</v>
      </c>
      <c r="G59">
        <f>D56*(F59-A55)+D55*(A55-F58)</f>
        <v>62.565126050420176</v>
      </c>
    </row>
    <row r="60" spans="1:16">
      <c r="A60" s="1">
        <v>40757</v>
      </c>
      <c r="B60">
        <v>20.6</v>
      </c>
      <c r="D60" s="9">
        <f t="shared" si="2"/>
        <v>0.2340909090909091</v>
      </c>
      <c r="F60" s="1">
        <v>40574</v>
      </c>
      <c r="G60">
        <f>D57*(F60-A56)+D56*(A56-F59)</f>
        <v>74.649159663865547</v>
      </c>
    </row>
    <row r="61" spans="1:16">
      <c r="A61" s="1">
        <v>40865</v>
      </c>
      <c r="B61">
        <v>57.7</v>
      </c>
      <c r="D61" s="9">
        <f t="shared" si="2"/>
        <v>0.53425925925925932</v>
      </c>
      <c r="F61" s="1">
        <v>40602</v>
      </c>
      <c r="G61">
        <f>D58*(F61-A57)+D57*(A57-F60)</f>
        <v>57.282539682539692</v>
      </c>
    </row>
    <row r="62" spans="1:16">
      <c r="A62" s="1">
        <v>40914</v>
      </c>
      <c r="B62">
        <v>88.8</v>
      </c>
      <c r="D62" s="9">
        <f t="shared" si="2"/>
        <v>1.8122448979591836</v>
      </c>
      <c r="F62" s="1">
        <v>40633</v>
      </c>
      <c r="G62">
        <f>D59*(F62-A58)+D58*(A58-F61)</f>
        <v>46.720707070707078</v>
      </c>
    </row>
    <row r="63" spans="1:16">
      <c r="A63" s="1">
        <v>40942</v>
      </c>
      <c r="B63">
        <v>63.4</v>
      </c>
      <c r="D63" s="9">
        <f t="shared" si="2"/>
        <v>2.2642857142857142</v>
      </c>
      <c r="F63" s="1">
        <v>40663</v>
      </c>
      <c r="G63">
        <f>D59*(F63-F62)</f>
        <v>26.18181818181818</v>
      </c>
      <c r="H63" s="26" t="s">
        <v>88</v>
      </c>
      <c r="I63" s="16"/>
      <c r="J63" s="16"/>
      <c r="K63" s="16"/>
      <c r="L63" s="16"/>
      <c r="M63" s="16"/>
      <c r="N63" s="16"/>
      <c r="O63" s="16"/>
      <c r="P63" s="17"/>
    </row>
    <row r="64" spans="1:16">
      <c r="A64" s="1">
        <v>40967</v>
      </c>
      <c r="B64">
        <v>49.1</v>
      </c>
      <c r="D64" s="9">
        <f t="shared" si="2"/>
        <v>1.964</v>
      </c>
      <c r="F64" s="1">
        <v>40694</v>
      </c>
      <c r="G64">
        <f>D60*(F64-A59)+D59*(A59-F63)</f>
        <v>11.088636363636365</v>
      </c>
      <c r="H64" s="28" t="s">
        <v>87</v>
      </c>
      <c r="I64" s="19"/>
      <c r="J64" s="19"/>
      <c r="K64" s="19"/>
      <c r="L64" s="19"/>
      <c r="M64" s="19"/>
      <c r="N64" s="19"/>
      <c r="O64" s="19"/>
      <c r="P64" s="20"/>
    </row>
    <row r="65" spans="1:16">
      <c r="A65" s="1">
        <v>41011</v>
      </c>
      <c r="B65">
        <v>51.2</v>
      </c>
      <c r="D65" s="9">
        <f t="shared" si="2"/>
        <v>1.1636363636363638</v>
      </c>
      <c r="F65" s="1">
        <v>40724</v>
      </c>
      <c r="G65">
        <f>D60*(F65-F64)</f>
        <v>7.0227272727272734</v>
      </c>
      <c r="H65" s="28"/>
      <c r="I65" s="19"/>
      <c r="J65" s="19" t="s">
        <v>84</v>
      </c>
      <c r="K65" s="19"/>
      <c r="L65" s="19"/>
      <c r="M65" s="19"/>
      <c r="N65" s="19" t="s">
        <v>91</v>
      </c>
      <c r="O65" s="19">
        <f>AVERAGEA(B25:B26)</f>
        <v>7.139772727272728</v>
      </c>
      <c r="P65" s="20"/>
    </row>
    <row r="66" spans="1:16">
      <c r="A66" s="1">
        <v>41116</v>
      </c>
      <c r="B66">
        <v>23.6</v>
      </c>
      <c r="D66" s="9">
        <f t="shared" si="2"/>
        <v>0.22476190476190477</v>
      </c>
      <c r="F66" s="1">
        <v>40755</v>
      </c>
      <c r="G66">
        <f>D60*(F66-F65)</f>
        <v>7.2568181818181818</v>
      </c>
      <c r="H66" s="28"/>
      <c r="I66" s="19"/>
      <c r="J66" s="19" t="s">
        <v>83</v>
      </c>
      <c r="K66" s="19"/>
      <c r="L66" s="19" t="s">
        <v>86</v>
      </c>
      <c r="M66" s="19"/>
      <c r="N66" s="19" t="s">
        <v>92</v>
      </c>
      <c r="O66" s="19"/>
      <c r="P66" s="20"/>
    </row>
    <row r="67" spans="1:16">
      <c r="A67" s="1"/>
      <c r="F67" s="1">
        <v>40786</v>
      </c>
      <c r="G67">
        <f>D61*(F67-A60)+D60*(A60-F66)</f>
        <v>15.961700336700339</v>
      </c>
      <c r="H67" s="28">
        <f>D60*(A60-F66)+L67</f>
        <v>8.9087347155768217</v>
      </c>
      <c r="I67" s="19"/>
      <c r="J67" s="29">
        <f>HDD!B32</f>
        <v>34</v>
      </c>
      <c r="K67" s="19"/>
      <c r="L67" s="19">
        <f>(($B$61-3.5*$O$65)/$J$72)*J67+$O$65</f>
        <v>8.440552897395003</v>
      </c>
      <c r="M67" s="19"/>
      <c r="N67" s="19" t="s">
        <v>93</v>
      </c>
      <c r="O67" s="19"/>
      <c r="P67" s="20"/>
    </row>
    <row r="68" spans="1:16">
      <c r="A68" s="1"/>
      <c r="F68" s="1">
        <v>40816</v>
      </c>
      <c r="G68">
        <f>D61*(F68-F67)</f>
        <v>16.027777777777779</v>
      </c>
      <c r="H68" s="28">
        <f>L68</f>
        <v>10.468239633173845</v>
      </c>
      <c r="I68" s="19"/>
      <c r="J68" s="29">
        <f>HDD!B33</f>
        <v>87</v>
      </c>
      <c r="K68" s="19"/>
      <c r="L68" s="19">
        <f>(($B$61-3.5*$O$65)/$J$72)*J68+$O$65</f>
        <v>10.468239633173845</v>
      </c>
      <c r="M68" s="19"/>
      <c r="N68" s="4" t="s">
        <v>94</v>
      </c>
      <c r="O68" s="19"/>
      <c r="P68" s="20"/>
    </row>
    <row r="69" spans="1:16">
      <c r="F69" s="1">
        <v>40847</v>
      </c>
      <c r="G69">
        <f>D61*(F69-F68)</f>
        <v>16.56203703703704</v>
      </c>
      <c r="H69" s="28">
        <f>L69</f>
        <v>23.552557814992028</v>
      </c>
      <c r="I69" s="19"/>
      <c r="J69" s="29">
        <f>HDD!B34</f>
        <v>429</v>
      </c>
      <c r="K69" s="19"/>
      <c r="L69" s="19">
        <f>(($B$61-3.5*$O$65)/$J$72)*J69+$O$65</f>
        <v>23.552557814992028</v>
      </c>
      <c r="M69" s="19"/>
      <c r="N69" s="19"/>
      <c r="O69" s="19"/>
      <c r="P69" s="20"/>
    </row>
    <row r="70" spans="1:16">
      <c r="B70">
        <f>SUM(B47:B49)</f>
        <v>103.5</v>
      </c>
      <c r="F70" s="1">
        <v>40877</v>
      </c>
      <c r="G70">
        <f>D62*(F70-A61)+D61*(A61-F69)</f>
        <v>31.363605442176869</v>
      </c>
      <c r="H70" s="28">
        <f>D62*(F70-A61)+L70</f>
        <v>36.985588429949331</v>
      </c>
      <c r="I70" s="19"/>
      <c r="J70" s="29">
        <f>1/2* HDD!B35</f>
        <v>305</v>
      </c>
      <c r="K70" s="19"/>
      <c r="L70" s="19">
        <f>(($B$61-3.5*$O$65)/$J$72)*J70+(0.5*$O$65)</f>
        <v>15.238649654439129</v>
      </c>
      <c r="M70" s="19"/>
      <c r="N70" s="19"/>
      <c r="O70" s="19"/>
      <c r="P70" s="20"/>
    </row>
    <row r="71" spans="1:16">
      <c r="F71" s="1">
        <v>40908</v>
      </c>
      <c r="G71">
        <f>D62*(F71-F70)</f>
        <v>56.179591836734694</v>
      </c>
      <c r="H71" s="28"/>
      <c r="I71" s="19"/>
      <c r="J71" s="29" t="s">
        <v>85</v>
      </c>
      <c r="K71" s="19"/>
      <c r="L71" s="19"/>
      <c r="M71" s="19"/>
      <c r="N71" s="19"/>
      <c r="O71" s="19"/>
      <c r="P71" s="20"/>
    </row>
    <row r="72" spans="1:16">
      <c r="B72">
        <f>SUM(B46:B49)</f>
        <v>128.30000000000001</v>
      </c>
      <c r="F72" s="1">
        <v>40939</v>
      </c>
      <c r="G72">
        <f>D63*(F72-A62)+D62*(A62-F71)</f>
        <v>67.480612244897955</v>
      </c>
      <c r="H72" s="34"/>
      <c r="I72" s="22"/>
      <c r="J72" s="35">
        <f>SUM(J67:J70)</f>
        <v>855</v>
      </c>
      <c r="K72" s="22"/>
      <c r="L72" s="22"/>
      <c r="M72" s="22"/>
      <c r="N72" s="22"/>
      <c r="O72" s="22"/>
      <c r="P72" s="23"/>
    </row>
    <row r="73" spans="1:16">
      <c r="F73" s="1">
        <v>40968</v>
      </c>
      <c r="G73">
        <f>D65*(F73-A64)+D64*(A64-A63)+D63*(A63-F72)</f>
        <v>57.05649350649351</v>
      </c>
      <c r="J73" s="1"/>
      <c r="K73" s="9"/>
    </row>
    <row r="74" spans="1:16">
      <c r="F74" s="1">
        <v>40999</v>
      </c>
      <c r="G74">
        <f>D65*(F74-F73)</f>
        <v>36.072727272727278</v>
      </c>
      <c r="J74" s="1"/>
      <c r="K74" s="9"/>
    </row>
    <row r="75" spans="1:16">
      <c r="F75" s="1">
        <v>41029</v>
      </c>
      <c r="G75">
        <f>D66*(F75-A65)+D65*(A65-F74)</f>
        <v>18.009350649350651</v>
      </c>
      <c r="J75" s="1"/>
      <c r="K75" s="9"/>
    </row>
    <row r="76" spans="1:16">
      <c r="F76" s="1">
        <v>41059</v>
      </c>
      <c r="G76" s="9">
        <f>D66*(F76-F75)</f>
        <v>6.7428571428571429</v>
      </c>
      <c r="J76" s="1"/>
      <c r="K76" s="9"/>
    </row>
    <row r="77" spans="1:16">
      <c r="F77" s="1">
        <v>41090</v>
      </c>
      <c r="G77">
        <f>D66*(F77-F76)</f>
        <v>6.9676190476190483</v>
      </c>
      <c r="J77" s="1"/>
      <c r="K77" s="9"/>
    </row>
    <row r="78" spans="1:16">
      <c r="F78" s="1">
        <v>41121</v>
      </c>
      <c r="G78">
        <f>D66*(F78-F77)</f>
        <v>6.9676190476190483</v>
      </c>
      <c r="J78" s="1"/>
      <c r="K78" s="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3"/>
  <sheetViews>
    <sheetView tabSelected="1" topLeftCell="A8" workbookViewId="0">
      <selection activeCell="A21" sqref="A21"/>
    </sheetView>
  </sheetViews>
  <sheetFormatPr defaultRowHeight="15"/>
  <cols>
    <col min="2" max="2" width="9.85546875" customWidth="1"/>
    <col min="4" max="4" width="15.28515625" customWidth="1"/>
    <col min="5" max="5" width="11.42578125" customWidth="1"/>
    <col min="15" max="15" width="10.5703125" bestFit="1" customWidth="1"/>
    <col min="17" max="17" width="10.42578125" bestFit="1" customWidth="1"/>
    <col min="19" max="19" width="11" customWidth="1"/>
    <col min="20" max="20" width="10.7109375" customWidth="1"/>
    <col min="21" max="21" width="10.85546875" customWidth="1"/>
  </cols>
  <sheetData>
    <row r="1" spans="1:21">
      <c r="B1" s="9" t="s">
        <v>40</v>
      </c>
    </row>
    <row r="4" spans="1:21">
      <c r="B4" s="83" t="s">
        <v>71</v>
      </c>
      <c r="C4" s="83"/>
      <c r="E4" t="s">
        <v>2</v>
      </c>
    </row>
    <row r="5" spans="1:21">
      <c r="B5" s="9" t="s">
        <v>39</v>
      </c>
      <c r="C5">
        <v>0</v>
      </c>
      <c r="D5" t="s">
        <v>3</v>
      </c>
      <c r="E5" t="s">
        <v>4</v>
      </c>
      <c r="F5" t="s">
        <v>0</v>
      </c>
      <c r="G5" t="s">
        <v>5</v>
      </c>
      <c r="S5" s="48">
        <v>40137</v>
      </c>
      <c r="T5" s="48">
        <v>40169</v>
      </c>
      <c r="U5" s="49">
        <v>581</v>
      </c>
    </row>
    <row r="6" spans="1:21" s="9" customFormat="1">
      <c r="A6" s="9" t="s">
        <v>46</v>
      </c>
      <c r="S6" s="48">
        <v>40169</v>
      </c>
      <c r="T6" s="48">
        <v>40200</v>
      </c>
      <c r="U6" s="50">
        <v>1715</v>
      </c>
    </row>
    <row r="7" spans="1:21" s="9" customFormat="1">
      <c r="S7" s="48">
        <v>40200</v>
      </c>
      <c r="T7" s="48">
        <v>40232</v>
      </c>
      <c r="U7" s="49">
        <v>323</v>
      </c>
    </row>
    <row r="8" spans="1:21" s="9" customFormat="1">
      <c r="A8" s="1">
        <v>40148</v>
      </c>
      <c r="B8" s="25">
        <v>581</v>
      </c>
      <c r="C8" s="25"/>
      <c r="D8" s="4">
        <f>SUM(B8+C8)-E8</f>
        <v>581</v>
      </c>
      <c r="E8" s="25">
        <v>0</v>
      </c>
      <c r="F8" s="9">
        <f>HDD!B12</f>
        <v>1125</v>
      </c>
      <c r="G8" s="9">
        <f>CDD!B12</f>
        <v>0</v>
      </c>
      <c r="S8" s="48">
        <v>40232</v>
      </c>
      <c r="T8" s="48">
        <v>40262</v>
      </c>
      <c r="U8" s="49">
        <v>144</v>
      </c>
    </row>
    <row r="9" spans="1:21" s="9" customFormat="1">
      <c r="A9" s="1">
        <v>40179</v>
      </c>
      <c r="B9" s="25">
        <v>1715</v>
      </c>
      <c r="C9" s="25"/>
      <c r="D9" s="4">
        <f t="shared" ref="D9:D40" si="0">SUM(B9+C9)-E9</f>
        <v>1715</v>
      </c>
      <c r="E9" s="25">
        <v>0</v>
      </c>
      <c r="F9" s="9">
        <f>HDD!B13</f>
        <v>1199</v>
      </c>
      <c r="G9" s="9">
        <f>CDD!B13</f>
        <v>0</v>
      </c>
      <c r="S9" s="48">
        <v>40262</v>
      </c>
      <c r="T9" s="48">
        <v>40294</v>
      </c>
      <c r="U9" s="49">
        <v>153</v>
      </c>
    </row>
    <row r="10" spans="1:21" s="9" customFormat="1">
      <c r="A10" s="1">
        <v>40210</v>
      </c>
      <c r="B10" s="25">
        <v>323</v>
      </c>
      <c r="C10" s="25"/>
      <c r="D10" s="4">
        <f t="shared" si="0"/>
        <v>323</v>
      </c>
      <c r="E10" s="25">
        <v>0</v>
      </c>
      <c r="F10" s="9">
        <f>HDD!B14</f>
        <v>997</v>
      </c>
      <c r="G10" s="9">
        <f>CDD!B14</f>
        <v>0</v>
      </c>
      <c r="S10" s="48">
        <v>40294</v>
      </c>
      <c r="T10" s="48">
        <v>40322</v>
      </c>
      <c r="U10" s="49">
        <v>129</v>
      </c>
    </row>
    <row r="11" spans="1:21" s="9" customFormat="1">
      <c r="A11" s="1">
        <v>40238</v>
      </c>
      <c r="B11" s="25">
        <v>144</v>
      </c>
      <c r="C11" s="25"/>
      <c r="D11" s="4">
        <f t="shared" si="0"/>
        <v>144</v>
      </c>
      <c r="E11" s="25">
        <v>0</v>
      </c>
      <c r="F11" s="9">
        <f>HDD!B15</f>
        <v>698</v>
      </c>
      <c r="G11" s="9">
        <f>CDD!B15</f>
        <v>3</v>
      </c>
      <c r="S11" s="48">
        <v>40322</v>
      </c>
      <c r="T11" s="48">
        <v>40353</v>
      </c>
      <c r="U11" s="49">
        <v>118</v>
      </c>
    </row>
    <row r="12" spans="1:21" s="9" customFormat="1">
      <c r="A12" s="1">
        <v>40269</v>
      </c>
      <c r="B12" s="25">
        <v>153</v>
      </c>
      <c r="C12" s="25"/>
      <c r="D12" s="4">
        <f t="shared" si="0"/>
        <v>153</v>
      </c>
      <c r="E12" s="25">
        <v>0</v>
      </c>
      <c r="F12" s="9">
        <f>HDD!B16</f>
        <v>404</v>
      </c>
      <c r="G12" s="9">
        <f>CDD!B16</f>
        <v>29</v>
      </c>
      <c r="S12" s="48">
        <v>40353</v>
      </c>
      <c r="T12" s="48">
        <v>40385</v>
      </c>
      <c r="U12" s="49">
        <v>119</v>
      </c>
    </row>
    <row r="13" spans="1:21" s="9" customFormat="1">
      <c r="A13" s="1">
        <v>40299</v>
      </c>
      <c r="B13" s="25">
        <v>129</v>
      </c>
      <c r="C13" s="25"/>
      <c r="D13" s="4">
        <f t="shared" si="0"/>
        <v>129</v>
      </c>
      <c r="E13" s="25">
        <v>0</v>
      </c>
      <c r="F13" s="9">
        <f>HDD!B17</f>
        <v>216</v>
      </c>
      <c r="G13" s="9">
        <f>CDD!B17</f>
        <v>121</v>
      </c>
      <c r="S13" s="48">
        <v>40385</v>
      </c>
      <c r="T13" s="48">
        <v>40415</v>
      </c>
      <c r="U13" s="49">
        <v>117</v>
      </c>
    </row>
    <row r="14" spans="1:21" s="9" customFormat="1">
      <c r="A14" s="1">
        <v>40330</v>
      </c>
      <c r="B14" s="25">
        <v>118</v>
      </c>
      <c r="C14" s="25"/>
      <c r="D14" s="4">
        <f t="shared" si="0"/>
        <v>118</v>
      </c>
      <c r="E14" s="25">
        <v>0</v>
      </c>
      <c r="F14" s="9">
        <f>HDD!B18</f>
        <v>63</v>
      </c>
      <c r="G14" s="9">
        <f>CDD!B18</f>
        <v>180</v>
      </c>
      <c r="S14" s="48">
        <v>40415</v>
      </c>
      <c r="T14" s="48">
        <v>40444</v>
      </c>
      <c r="U14" s="49">
        <v>146</v>
      </c>
    </row>
    <row r="15" spans="1:21" s="9" customFormat="1">
      <c r="A15" s="1">
        <v>40360</v>
      </c>
      <c r="B15" s="25">
        <v>119</v>
      </c>
      <c r="C15" s="25"/>
      <c r="D15" s="4">
        <f t="shared" si="0"/>
        <v>119</v>
      </c>
      <c r="E15" s="25">
        <v>0</v>
      </c>
      <c r="F15" s="9">
        <f>HDD!B19</f>
        <v>20</v>
      </c>
      <c r="G15" s="9">
        <f>CDD!B19</f>
        <v>369</v>
      </c>
      <c r="S15" s="48">
        <v>40444</v>
      </c>
      <c r="T15" s="48">
        <v>40473</v>
      </c>
      <c r="U15" s="49">
        <v>192</v>
      </c>
    </row>
    <row r="16" spans="1:21" s="9" customFormat="1">
      <c r="A16" s="1">
        <v>40391</v>
      </c>
      <c r="B16" s="25">
        <v>117</v>
      </c>
      <c r="C16" s="25"/>
      <c r="D16" s="4">
        <f t="shared" si="0"/>
        <v>117</v>
      </c>
      <c r="E16" s="25">
        <v>0</v>
      </c>
      <c r="F16" s="9">
        <f>HDD!B20</f>
        <v>33</v>
      </c>
      <c r="G16" s="9">
        <f>CDD!B20</f>
        <v>257</v>
      </c>
      <c r="S16" s="48">
        <v>40473</v>
      </c>
      <c r="T16" s="48">
        <v>40504</v>
      </c>
      <c r="U16" s="49">
        <v>263</v>
      </c>
    </row>
    <row r="17" spans="1:21" s="9" customFormat="1">
      <c r="A17" s="1">
        <v>40422</v>
      </c>
      <c r="B17" s="25">
        <v>146</v>
      </c>
      <c r="C17" s="25"/>
      <c r="D17" s="4">
        <f t="shared" si="0"/>
        <v>146</v>
      </c>
      <c r="E17" s="25">
        <v>0</v>
      </c>
      <c r="F17" s="9">
        <f>HDD!B21</f>
        <v>98</v>
      </c>
      <c r="G17" s="9">
        <f>CDD!B21</f>
        <v>146</v>
      </c>
      <c r="S17" s="48">
        <v>40504</v>
      </c>
      <c r="T17" s="48">
        <v>40534</v>
      </c>
      <c r="U17" s="49">
        <v>265</v>
      </c>
    </row>
    <row r="18" spans="1:21" s="9" customFormat="1">
      <c r="A18" s="1">
        <v>40452</v>
      </c>
      <c r="B18" s="25">
        <v>192</v>
      </c>
      <c r="C18" s="25"/>
      <c r="D18" s="4">
        <f t="shared" si="0"/>
        <v>192</v>
      </c>
      <c r="E18" s="25">
        <v>0</v>
      </c>
      <c r="F18" s="9">
        <f>HDD!B22</f>
        <v>407</v>
      </c>
      <c r="G18" s="9">
        <f>CDD!B22</f>
        <v>16</v>
      </c>
      <c r="S18" s="48">
        <v>40534</v>
      </c>
      <c r="T18" s="48">
        <v>40567</v>
      </c>
      <c r="U18" s="49">
        <v>311</v>
      </c>
    </row>
    <row r="19" spans="1:21" s="9" customFormat="1">
      <c r="A19" s="1">
        <v>40483</v>
      </c>
      <c r="B19" s="25">
        <v>263</v>
      </c>
      <c r="C19" s="25"/>
      <c r="D19" s="4">
        <f t="shared" si="0"/>
        <v>263</v>
      </c>
      <c r="E19" s="25">
        <v>0</v>
      </c>
      <c r="F19" s="9">
        <f>HDD!B23</f>
        <v>708</v>
      </c>
      <c r="G19" s="9">
        <f>CDD!B23</f>
        <v>0</v>
      </c>
      <c r="S19" s="48">
        <v>40567</v>
      </c>
      <c r="T19" s="48">
        <v>40596</v>
      </c>
      <c r="U19" s="49">
        <v>282</v>
      </c>
    </row>
    <row r="20" spans="1:21" s="9" customFormat="1">
      <c r="A20" s="1">
        <v>40513</v>
      </c>
      <c r="B20" s="25">
        <v>265</v>
      </c>
      <c r="C20" s="25"/>
      <c r="D20" s="4">
        <f t="shared" si="0"/>
        <v>265</v>
      </c>
      <c r="E20" s="25">
        <v>0</v>
      </c>
      <c r="F20" s="9">
        <f>HDD!B24</f>
        <v>1130</v>
      </c>
      <c r="G20" s="9">
        <f>CDD!B24</f>
        <v>0</v>
      </c>
      <c r="S20" s="48">
        <v>40596</v>
      </c>
      <c r="T20" s="48">
        <v>40625</v>
      </c>
      <c r="U20" s="49">
        <v>266</v>
      </c>
    </row>
    <row r="21" spans="1:21">
      <c r="A21" s="1">
        <v>40544</v>
      </c>
      <c r="B21" s="25">
        <v>311</v>
      </c>
      <c r="C21" s="25"/>
      <c r="D21" s="4">
        <f t="shared" si="0"/>
        <v>311</v>
      </c>
      <c r="E21" s="25">
        <v>0</v>
      </c>
      <c r="F21" s="9">
        <f>HDD!B25</f>
        <v>1309</v>
      </c>
      <c r="G21" s="9">
        <f>CDD!B25</f>
        <v>0</v>
      </c>
      <c r="S21" s="48">
        <v>40625</v>
      </c>
      <c r="T21" s="48">
        <v>40658</v>
      </c>
      <c r="U21" s="49">
        <v>318</v>
      </c>
    </row>
    <row r="22" spans="1:21">
      <c r="A22" s="1">
        <v>40575</v>
      </c>
      <c r="B22" s="25">
        <v>282</v>
      </c>
      <c r="C22" s="25"/>
      <c r="D22" s="4">
        <f t="shared" si="0"/>
        <v>282</v>
      </c>
      <c r="E22" s="25">
        <v>0</v>
      </c>
      <c r="F22" s="9">
        <f>HDD!B26</f>
        <v>1080</v>
      </c>
      <c r="G22" s="9">
        <f>CDD!B26</f>
        <v>0</v>
      </c>
      <c r="S22" s="48">
        <v>40658</v>
      </c>
      <c r="T22" s="48">
        <v>40686</v>
      </c>
      <c r="U22" s="49">
        <v>266</v>
      </c>
    </row>
    <row r="23" spans="1:21">
      <c r="A23" s="1">
        <v>40603</v>
      </c>
      <c r="B23" s="25">
        <v>266</v>
      </c>
      <c r="C23" s="25"/>
      <c r="D23" s="4">
        <f t="shared" si="0"/>
        <v>266</v>
      </c>
      <c r="E23" s="25">
        <v>0</v>
      </c>
      <c r="F23" s="9">
        <f>HDD!B27</f>
        <v>883</v>
      </c>
      <c r="G23" s="9">
        <f>CDD!B27</f>
        <v>0</v>
      </c>
      <c r="S23" s="48">
        <v>40686</v>
      </c>
      <c r="T23" s="48">
        <v>40717</v>
      </c>
      <c r="U23" s="49">
        <v>169</v>
      </c>
    </row>
    <row r="24" spans="1:21">
      <c r="A24" s="1">
        <v>40634</v>
      </c>
      <c r="B24" s="25">
        <v>318</v>
      </c>
      <c r="C24" s="25"/>
      <c r="D24" s="4">
        <f t="shared" si="0"/>
        <v>318</v>
      </c>
      <c r="E24" s="25">
        <v>0</v>
      </c>
      <c r="F24" s="9">
        <f>HDD!B28</f>
        <v>471</v>
      </c>
      <c r="G24" s="9">
        <f>CDD!B28</f>
        <v>13</v>
      </c>
      <c r="S24" s="48">
        <v>40717</v>
      </c>
      <c r="T24" s="48">
        <v>40749</v>
      </c>
      <c r="U24" s="49">
        <v>147</v>
      </c>
    </row>
    <row r="25" spans="1:21">
      <c r="A25" s="1">
        <v>40664</v>
      </c>
      <c r="B25" s="25">
        <v>266</v>
      </c>
      <c r="C25" s="25"/>
      <c r="D25" s="4">
        <f t="shared" si="0"/>
        <v>266</v>
      </c>
      <c r="E25" s="25">
        <v>0</v>
      </c>
      <c r="F25" s="9">
        <f>HDD!B29</f>
        <v>189</v>
      </c>
      <c r="G25" s="9">
        <f>CDD!B29</f>
        <v>86</v>
      </c>
      <c r="S25" s="48">
        <v>40749</v>
      </c>
      <c r="T25" s="48">
        <v>40778</v>
      </c>
      <c r="U25" s="49">
        <v>119</v>
      </c>
    </row>
    <row r="26" spans="1:21">
      <c r="A26" s="1">
        <v>40695</v>
      </c>
      <c r="B26" s="25">
        <v>169</v>
      </c>
      <c r="C26" s="25"/>
      <c r="D26" s="4">
        <f t="shared" si="0"/>
        <v>169</v>
      </c>
      <c r="E26" s="25">
        <v>0</v>
      </c>
      <c r="F26" s="9">
        <f>HDD!B30</f>
        <v>69</v>
      </c>
      <c r="G26" s="9">
        <f>CDD!B30</f>
        <v>157</v>
      </c>
      <c r="S26" s="48">
        <v>40778</v>
      </c>
      <c r="T26" s="48">
        <v>40807</v>
      </c>
      <c r="U26" s="49">
        <v>128</v>
      </c>
    </row>
    <row r="27" spans="1:21">
      <c r="A27" s="1">
        <v>40725</v>
      </c>
      <c r="B27" s="25">
        <v>147</v>
      </c>
      <c r="C27" s="25"/>
      <c r="D27" s="4">
        <f t="shared" si="0"/>
        <v>147</v>
      </c>
      <c r="E27" s="25">
        <v>0</v>
      </c>
      <c r="F27" s="9">
        <f>HDD!B31</f>
        <v>16</v>
      </c>
      <c r="G27" s="9">
        <f>CDD!B31</f>
        <v>329</v>
      </c>
      <c r="S27" s="48">
        <v>40807</v>
      </c>
      <c r="T27" s="48">
        <v>40837</v>
      </c>
      <c r="U27" s="49">
        <v>149</v>
      </c>
    </row>
    <row r="28" spans="1:21">
      <c r="A28" s="1">
        <v>40756</v>
      </c>
      <c r="B28" s="25">
        <v>119</v>
      </c>
      <c r="C28" s="25"/>
      <c r="D28" s="4">
        <f t="shared" si="0"/>
        <v>119</v>
      </c>
      <c r="E28" s="25">
        <v>0</v>
      </c>
      <c r="F28" s="9">
        <f>HDD!B32</f>
        <v>34</v>
      </c>
      <c r="G28" s="9">
        <f>CDD!B32</f>
        <v>215</v>
      </c>
      <c r="S28" s="48">
        <v>40837</v>
      </c>
      <c r="T28" s="48">
        <v>40869</v>
      </c>
      <c r="U28" s="49">
        <v>171</v>
      </c>
    </row>
    <row r="29" spans="1:21">
      <c r="A29" s="1">
        <v>40787</v>
      </c>
      <c r="B29" s="25">
        <v>128</v>
      </c>
      <c r="C29" s="25"/>
      <c r="D29" s="4">
        <f t="shared" si="0"/>
        <v>128</v>
      </c>
      <c r="E29" s="25">
        <v>0</v>
      </c>
      <c r="F29" s="9">
        <f>HDD!B33</f>
        <v>87</v>
      </c>
      <c r="G29" s="9">
        <f>CDD!B33</f>
        <v>115</v>
      </c>
      <c r="S29" s="48">
        <v>40869</v>
      </c>
      <c r="T29" s="48">
        <v>40898</v>
      </c>
      <c r="U29" s="49">
        <v>166</v>
      </c>
    </row>
    <row r="30" spans="1:21">
      <c r="A30" s="1">
        <v>40817</v>
      </c>
      <c r="B30" s="25">
        <v>149</v>
      </c>
      <c r="C30" s="25"/>
      <c r="D30" s="4">
        <f t="shared" si="0"/>
        <v>149</v>
      </c>
      <c r="E30" s="25">
        <v>0</v>
      </c>
      <c r="F30" s="9">
        <f>HDD!B34</f>
        <v>429</v>
      </c>
      <c r="G30" s="9">
        <f>CDD!B34</f>
        <v>17</v>
      </c>
      <c r="S30" s="48">
        <v>40898</v>
      </c>
      <c r="T30" s="48">
        <v>40932</v>
      </c>
      <c r="U30" s="49">
        <v>255</v>
      </c>
    </row>
    <row r="31" spans="1:21">
      <c r="A31" s="1">
        <v>40848</v>
      </c>
      <c r="B31" s="25">
        <v>171</v>
      </c>
      <c r="C31" s="25"/>
      <c r="D31" s="4">
        <f t="shared" si="0"/>
        <v>171</v>
      </c>
      <c r="E31" s="25">
        <v>0</v>
      </c>
      <c r="F31" s="9">
        <f>HDD!B35</f>
        <v>610</v>
      </c>
      <c r="G31" s="9">
        <f>CDD!B35</f>
        <v>1</v>
      </c>
      <c r="S31" s="48">
        <v>40932</v>
      </c>
      <c r="T31" s="48">
        <v>40961</v>
      </c>
      <c r="U31" s="49">
        <v>176</v>
      </c>
    </row>
    <row r="32" spans="1:21">
      <c r="A32" s="1">
        <v>40878</v>
      </c>
      <c r="B32" s="25">
        <v>166</v>
      </c>
      <c r="C32" s="25"/>
      <c r="D32" s="4">
        <f t="shared" si="0"/>
        <v>166</v>
      </c>
      <c r="E32" s="25">
        <v>0</v>
      </c>
      <c r="F32" s="9">
        <f>HDD!B36</f>
        <v>906</v>
      </c>
      <c r="G32" s="9">
        <f>CDD!B36</f>
        <v>0</v>
      </c>
      <c r="S32" s="48">
        <v>40961</v>
      </c>
      <c r="T32" s="48">
        <v>40991</v>
      </c>
      <c r="U32" s="49">
        <v>160</v>
      </c>
    </row>
    <row r="33" spans="1:21">
      <c r="A33" s="1">
        <v>40909</v>
      </c>
      <c r="B33" s="25">
        <v>255</v>
      </c>
      <c r="C33" s="25"/>
      <c r="D33" s="4">
        <f t="shared" si="0"/>
        <v>255</v>
      </c>
      <c r="E33" s="25">
        <v>0</v>
      </c>
      <c r="F33" s="9">
        <f>HDD!B37</f>
        <v>1071</v>
      </c>
      <c r="G33" s="9">
        <f>CDD!B37</f>
        <v>0</v>
      </c>
      <c r="S33" s="48">
        <v>40991</v>
      </c>
      <c r="T33" s="48">
        <v>41023</v>
      </c>
      <c r="U33" s="49">
        <v>158</v>
      </c>
    </row>
    <row r="34" spans="1:21">
      <c r="A34" s="1">
        <v>40940</v>
      </c>
      <c r="B34" s="25">
        <v>176</v>
      </c>
      <c r="C34" s="25"/>
      <c r="D34" s="4">
        <f t="shared" si="0"/>
        <v>176</v>
      </c>
      <c r="E34" s="25">
        <v>0</v>
      </c>
      <c r="F34" s="9">
        <f>HDD!B38</f>
        <v>890</v>
      </c>
      <c r="G34" s="9">
        <f>CDD!B38</f>
        <v>0</v>
      </c>
      <c r="S34" s="48">
        <v>41023</v>
      </c>
      <c r="T34" s="48">
        <v>41052</v>
      </c>
      <c r="U34" s="49">
        <v>120</v>
      </c>
    </row>
    <row r="35" spans="1:21">
      <c r="A35" s="1">
        <v>40969</v>
      </c>
      <c r="B35" s="25">
        <v>160</v>
      </c>
      <c r="C35" s="25"/>
      <c r="D35" s="4">
        <f t="shared" si="0"/>
        <v>160</v>
      </c>
      <c r="E35" s="25">
        <v>0</v>
      </c>
      <c r="F35" s="9">
        <f>HDD!B39</f>
        <v>626</v>
      </c>
      <c r="G35" s="9">
        <f>CDD!B39</f>
        <v>22</v>
      </c>
      <c r="S35" s="48">
        <v>41052</v>
      </c>
      <c r="T35" s="48">
        <v>41082</v>
      </c>
      <c r="U35" s="49">
        <v>126</v>
      </c>
    </row>
    <row r="36" spans="1:21">
      <c r="A36" s="1">
        <v>41000</v>
      </c>
      <c r="B36" s="25">
        <v>158</v>
      </c>
      <c r="C36" s="25"/>
      <c r="D36" s="4">
        <f t="shared" si="0"/>
        <v>158</v>
      </c>
      <c r="E36" s="25">
        <v>0</v>
      </c>
      <c r="F36" s="9">
        <f>HDD!B40</f>
        <v>441</v>
      </c>
      <c r="G36" s="9">
        <f>CDD!B40</f>
        <v>27</v>
      </c>
      <c r="S36" s="48">
        <v>41082</v>
      </c>
      <c r="T36" s="48">
        <v>41114</v>
      </c>
      <c r="U36" s="49">
        <v>145</v>
      </c>
    </row>
    <row r="37" spans="1:21">
      <c r="A37" s="1">
        <v>41030</v>
      </c>
      <c r="B37" s="25">
        <v>120</v>
      </c>
      <c r="C37" s="25"/>
      <c r="D37" s="4">
        <f t="shared" si="0"/>
        <v>120</v>
      </c>
      <c r="E37" s="25">
        <v>0</v>
      </c>
      <c r="F37" s="9">
        <f>HDD!B41</f>
        <v>160</v>
      </c>
      <c r="G37" s="9">
        <f>CDD!B41</f>
        <v>104</v>
      </c>
      <c r="S37" s="48">
        <v>41114</v>
      </c>
      <c r="T37" s="48">
        <v>41144</v>
      </c>
      <c r="U37" s="49">
        <v>134</v>
      </c>
    </row>
    <row r="38" spans="1:21">
      <c r="A38" s="1">
        <v>41061</v>
      </c>
      <c r="B38" s="25">
        <v>126</v>
      </c>
      <c r="C38" s="25"/>
      <c r="D38" s="4">
        <f t="shared" si="0"/>
        <v>126</v>
      </c>
      <c r="E38" s="25">
        <v>0</v>
      </c>
      <c r="F38" s="9">
        <f>HDD!B42</f>
        <v>87</v>
      </c>
      <c r="G38" s="9">
        <f>CDD!B42</f>
        <v>162</v>
      </c>
    </row>
    <row r="39" spans="1:21">
      <c r="A39" s="1">
        <v>41091</v>
      </c>
      <c r="B39" s="4">
        <v>145</v>
      </c>
      <c r="C39" s="4"/>
      <c r="D39" s="4">
        <f t="shared" si="0"/>
        <v>145</v>
      </c>
      <c r="E39" s="4">
        <v>0</v>
      </c>
      <c r="F39" s="9">
        <f>HDD!B43</f>
        <v>15</v>
      </c>
      <c r="G39" s="9">
        <f>CDD!B43</f>
        <v>333</v>
      </c>
    </row>
    <row r="40" spans="1:21">
      <c r="A40" s="1">
        <v>41122</v>
      </c>
      <c r="B40" s="4">
        <v>134</v>
      </c>
      <c r="C40" s="4"/>
      <c r="D40" s="4">
        <f t="shared" si="0"/>
        <v>134</v>
      </c>
      <c r="E40" s="4"/>
      <c r="G40" s="9">
        <f>CDD!B44</f>
        <v>0</v>
      </c>
    </row>
    <row r="43" spans="1:21" s="9" customFormat="1"/>
    <row r="45" spans="1:21" s="9" customFormat="1"/>
    <row r="46" spans="1:21" s="9" customFormat="1"/>
    <row r="47" spans="1:21" s="9" customFormat="1"/>
    <row r="48" spans="1:21" s="9" customFormat="1"/>
    <row r="49" s="9" customFormat="1"/>
    <row r="50" s="9" customFormat="1"/>
    <row r="51" s="9" customFormat="1"/>
    <row r="60" s="9" customFormat="1"/>
    <row r="68" spans="17:17">
      <c r="Q68" s="1"/>
    </row>
    <row r="69" spans="17:17">
      <c r="Q69" s="1"/>
    </row>
    <row r="70" spans="17:17">
      <c r="Q70" s="1"/>
    </row>
    <row r="71" spans="17:17">
      <c r="Q71" s="1"/>
    </row>
    <row r="72" spans="17:17">
      <c r="Q72" s="1"/>
    </row>
    <row r="73" spans="17:17">
      <c r="Q73" s="1"/>
    </row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7"/>
  <sheetViews>
    <sheetView workbookViewId="0">
      <selection activeCell="O49" sqref="O49"/>
    </sheetView>
  </sheetViews>
  <sheetFormatPr defaultRowHeight="15"/>
  <cols>
    <col min="8" max="9" width="9.140625" style="9"/>
    <col min="15" max="15" width="9.140625" style="9"/>
    <col min="22" max="22" width="9.140625" style="9"/>
  </cols>
  <sheetData>
    <row r="1" spans="2:24">
      <c r="C1" s="9" t="s">
        <v>25</v>
      </c>
      <c r="E1" s="13">
        <f>1/E3</f>
        <v>292.99736302373282</v>
      </c>
    </row>
    <row r="2" spans="2:24">
      <c r="C2" s="9" t="s">
        <v>22</v>
      </c>
      <c r="E2" s="12">
        <f>100000/1000000</f>
        <v>0.1</v>
      </c>
    </row>
    <row r="3" spans="2:24">
      <c r="C3" s="9" t="s">
        <v>21</v>
      </c>
      <c r="E3">
        <f>3413/1000000</f>
        <v>3.4129999999999998E-3</v>
      </c>
    </row>
    <row r="4" spans="2:24" s="9" customFormat="1">
      <c r="C4" s="9" t="s">
        <v>51</v>
      </c>
      <c r="E4" s="9">
        <f>91.6476/1000</f>
        <v>9.1647599999999996E-2</v>
      </c>
    </row>
    <row r="5" spans="2:24">
      <c r="B5" s="9" t="s">
        <v>24</v>
      </c>
      <c r="E5">
        <v>3.34</v>
      </c>
    </row>
    <row r="6" spans="2:24">
      <c r="B6" s="9" t="s">
        <v>23</v>
      </c>
      <c r="E6">
        <v>1.0469999999999999</v>
      </c>
    </row>
    <row r="7" spans="2:24">
      <c r="B7" s="9" t="s">
        <v>41</v>
      </c>
      <c r="E7">
        <v>1.01</v>
      </c>
      <c r="T7" s="9" t="s">
        <v>27</v>
      </c>
      <c r="W7" s="9" t="s">
        <v>30</v>
      </c>
    </row>
    <row r="8" spans="2:24">
      <c r="C8" s="9" t="s">
        <v>57</v>
      </c>
      <c r="J8" s="9"/>
      <c r="K8" s="80" t="s">
        <v>1</v>
      </c>
      <c r="L8" s="9"/>
      <c r="M8" s="9" t="s">
        <v>26</v>
      </c>
      <c r="O8" s="9" t="s">
        <v>18</v>
      </c>
      <c r="P8" s="9" t="s">
        <v>19</v>
      </c>
    </row>
    <row r="9" spans="2:24">
      <c r="B9" s="9"/>
      <c r="C9" s="9" t="s">
        <v>34</v>
      </c>
      <c r="D9" s="9" t="s">
        <v>18</v>
      </c>
      <c r="E9" s="9" t="s">
        <v>19</v>
      </c>
      <c r="G9" s="9" t="s">
        <v>17</v>
      </c>
      <c r="H9" s="9" t="s">
        <v>20</v>
      </c>
      <c r="J9" s="9"/>
      <c r="K9" s="47" t="str">
        <f>Elec!B5</f>
        <v>Home</v>
      </c>
      <c r="Q9" s="9" t="s">
        <v>0</v>
      </c>
      <c r="R9" s="9" t="s">
        <v>5</v>
      </c>
      <c r="T9" s="9" t="s">
        <v>28</v>
      </c>
      <c r="U9" s="9" t="s">
        <v>29</v>
      </c>
      <c r="W9" s="9" t="s">
        <v>28</v>
      </c>
      <c r="X9" s="9" t="s">
        <v>29</v>
      </c>
    </row>
    <row r="10" spans="2:24">
      <c r="J10" s="1"/>
      <c r="K10" s="4"/>
      <c r="Q10" s="9"/>
      <c r="R10" s="9"/>
    </row>
    <row r="11" spans="2:24" s="9" customFormat="1">
      <c r="B11" s="1">
        <v>40148</v>
      </c>
      <c r="C11" s="14">
        <f>Propane!B7</f>
        <v>10.722510822510824</v>
      </c>
      <c r="D11" s="14">
        <f>C11*E$4</f>
        <v>0.98269238285714289</v>
      </c>
      <c r="E11" s="13">
        <f t="shared" ref="E11:E20" si="0">D11*E$7</f>
        <v>0.99251930668571431</v>
      </c>
      <c r="G11" s="13">
        <f t="shared" ref="G11" si="1">D11*E$1</f>
        <v>287.92627684065133</v>
      </c>
      <c r="H11" s="13">
        <f t="shared" ref="H11" si="2">E11*E$1</f>
        <v>290.80553960905786</v>
      </c>
      <c r="I11" s="13"/>
      <c r="J11" s="1">
        <v>40148</v>
      </c>
      <c r="K11" s="25">
        <f>Elec!D8</f>
        <v>581</v>
      </c>
      <c r="M11" s="9">
        <f>K11*$E$5</f>
        <v>1940.54</v>
      </c>
      <c r="O11" s="13">
        <f>K11*E$3</f>
        <v>1.982953</v>
      </c>
      <c r="P11" s="13">
        <f t="shared" ref="P11:P42" si="3">M11*E$3</f>
        <v>6.6230630199999991</v>
      </c>
      <c r="Q11" s="9">
        <f>HDD!B8</f>
        <v>40</v>
      </c>
      <c r="R11" s="9">
        <f>CDD!B8</f>
        <v>236</v>
      </c>
      <c r="T11" s="13">
        <f>G11+K11</f>
        <v>868.92627684065133</v>
      </c>
      <c r="U11" s="13">
        <f t="shared" ref="U11:U42" si="4">H11+M11</f>
        <v>2231.3455396090576</v>
      </c>
      <c r="V11" s="13"/>
      <c r="W11" s="13">
        <f t="shared" ref="W11:W42" si="5">D11+O11</f>
        <v>2.9656453828571427</v>
      </c>
      <c r="X11" s="13">
        <f t="shared" ref="X11:X42" si="6">E11+P11</f>
        <v>7.615582326685713</v>
      </c>
    </row>
    <row r="12" spans="2:24" s="9" customFormat="1">
      <c r="B12" s="1">
        <v>40179</v>
      </c>
      <c r="C12" s="14">
        <f>Propane!B8</f>
        <v>16.208252740167634</v>
      </c>
      <c r="D12" s="14">
        <f>C12*E$4</f>
        <v>1.4854474638297872</v>
      </c>
      <c r="E12" s="13">
        <f t="shared" si="0"/>
        <v>1.5003019384680851</v>
      </c>
      <c r="G12" s="13">
        <f t="shared" ref="G12:G23" si="7">D12*E$1</f>
        <v>435.23218981241939</v>
      </c>
      <c r="H12" s="13">
        <f t="shared" ref="H12:H23" si="8">E12*E$1</f>
        <v>439.58451171054361</v>
      </c>
      <c r="I12" s="13"/>
      <c r="J12" s="1">
        <v>40179</v>
      </c>
      <c r="K12" s="25">
        <f>Elec!D9</f>
        <v>1715</v>
      </c>
      <c r="M12" s="9">
        <f>K12*$E$5</f>
        <v>5728.0999999999995</v>
      </c>
      <c r="O12" s="13">
        <f t="shared" ref="O12:O42" si="9">K12*E$3</f>
        <v>5.8532949999999992</v>
      </c>
      <c r="P12" s="13">
        <f t="shared" si="3"/>
        <v>19.550005299999999</v>
      </c>
      <c r="Q12" s="9">
        <f>HDD!B9</f>
        <v>200</v>
      </c>
      <c r="R12" s="9">
        <f>CDD!B9</f>
        <v>63</v>
      </c>
      <c r="T12" s="13">
        <f t="shared" ref="T12:T42" si="10">G12+K12</f>
        <v>2150.2321898124192</v>
      </c>
      <c r="U12" s="36">
        <f t="shared" si="4"/>
        <v>6167.6845117105431</v>
      </c>
      <c r="V12" s="36"/>
      <c r="W12" s="36">
        <f t="shared" si="5"/>
        <v>7.3387424638297869</v>
      </c>
      <c r="X12" s="37">
        <f t="shared" si="6"/>
        <v>21.050307238468083</v>
      </c>
    </row>
    <row r="13" spans="2:24" s="9" customFormat="1">
      <c r="B13" s="1">
        <v>40210</v>
      </c>
      <c r="C13" s="14">
        <f>Propane!B9</f>
        <v>60.885106382978719</v>
      </c>
      <c r="D13" s="14">
        <f t="shared" ref="D13:D42" si="11">C13*E$4</f>
        <v>5.5799738757446802</v>
      </c>
      <c r="E13" s="13">
        <f t="shared" si="0"/>
        <v>5.6357736145021269</v>
      </c>
      <c r="G13" s="13">
        <f t="shared" si="7"/>
        <v>1634.9176313345095</v>
      </c>
      <c r="H13" s="13">
        <f t="shared" si="8"/>
        <v>1651.2668076478544</v>
      </c>
      <c r="I13" s="13"/>
      <c r="J13" s="1">
        <v>40210</v>
      </c>
      <c r="K13" s="25">
        <f>Elec!D10</f>
        <v>323</v>
      </c>
      <c r="M13" s="9">
        <f t="shared" ref="M13:M42" si="12">K13*$E$5</f>
        <v>1078.82</v>
      </c>
      <c r="O13" s="13">
        <f t="shared" si="9"/>
        <v>1.1023989999999999</v>
      </c>
      <c r="P13" s="13">
        <f t="shared" si="3"/>
        <v>3.6820126599999994</v>
      </c>
      <c r="Q13" s="9">
        <f>HDD!B10</f>
        <v>524</v>
      </c>
      <c r="R13" s="9">
        <f>CDD!B10</f>
        <v>2</v>
      </c>
      <c r="T13" s="13">
        <f t="shared" si="10"/>
        <v>1957.9176313345095</v>
      </c>
      <c r="U13" s="29">
        <f t="shared" si="4"/>
        <v>2730.0868076478546</v>
      </c>
      <c r="V13" s="29"/>
      <c r="W13" s="29">
        <f t="shared" si="5"/>
        <v>6.6823728757446803</v>
      </c>
      <c r="X13" s="38">
        <f t="shared" si="6"/>
        <v>9.3177862745021258</v>
      </c>
    </row>
    <row r="14" spans="2:24" s="9" customFormat="1">
      <c r="B14" s="1">
        <v>40238</v>
      </c>
      <c r="C14" s="14">
        <f>Propane!B10</f>
        <v>45.033676861702126</v>
      </c>
      <c r="D14" s="14">
        <f t="shared" si="11"/>
        <v>4.1272284035505313</v>
      </c>
      <c r="E14" s="13">
        <f t="shared" si="0"/>
        <v>4.1685006875860369</v>
      </c>
      <c r="G14" s="13">
        <f t="shared" si="7"/>
        <v>1209.2670388369563</v>
      </c>
      <c r="H14" s="13">
        <f t="shared" si="8"/>
        <v>1221.3597092253258</v>
      </c>
      <c r="I14" s="13"/>
      <c r="J14" s="1">
        <v>40238</v>
      </c>
      <c r="K14" s="25">
        <f>Elec!D11</f>
        <v>144</v>
      </c>
      <c r="M14" s="9">
        <f t="shared" si="12"/>
        <v>480.96</v>
      </c>
      <c r="O14" s="13">
        <f t="shared" si="9"/>
        <v>0.49147199999999996</v>
      </c>
      <c r="P14" s="13">
        <f t="shared" si="3"/>
        <v>1.6415164799999999</v>
      </c>
      <c r="Q14" s="9">
        <f>HDD!B11</f>
        <v>596</v>
      </c>
      <c r="R14" s="9">
        <f>CDD!B11</f>
        <v>1</v>
      </c>
      <c r="T14" s="13">
        <f t="shared" si="10"/>
        <v>1353.2670388369563</v>
      </c>
      <c r="U14" s="29">
        <f t="shared" si="4"/>
        <v>1702.3197092253258</v>
      </c>
      <c r="V14" s="29"/>
      <c r="W14" s="29">
        <f t="shared" si="5"/>
        <v>4.6187004035505312</v>
      </c>
      <c r="X14" s="38">
        <f t="shared" si="6"/>
        <v>5.8100171675860368</v>
      </c>
    </row>
    <row r="15" spans="2:24" s="9" customFormat="1">
      <c r="B15" s="1">
        <v>40269</v>
      </c>
      <c r="C15" s="14">
        <f>Propane!B11</f>
        <v>20.484375</v>
      </c>
      <c r="D15" s="14">
        <f t="shared" si="11"/>
        <v>1.8773438062499999</v>
      </c>
      <c r="E15" s="13">
        <f t="shared" si="0"/>
        <v>1.8961172443124998</v>
      </c>
      <c r="G15" s="13">
        <f t="shared" si="7"/>
        <v>550.05678472018758</v>
      </c>
      <c r="H15" s="13">
        <f t="shared" si="8"/>
        <v>555.55735256738944</v>
      </c>
      <c r="I15" s="13"/>
      <c r="J15" s="1">
        <v>40269</v>
      </c>
      <c r="K15" s="25">
        <f>Elec!D12</f>
        <v>153</v>
      </c>
      <c r="M15" s="9">
        <f t="shared" si="12"/>
        <v>511.02</v>
      </c>
      <c r="O15" s="13">
        <f t="shared" si="9"/>
        <v>0.52218900000000001</v>
      </c>
      <c r="P15" s="13">
        <f t="shared" si="3"/>
        <v>1.7441112599999999</v>
      </c>
      <c r="Q15" s="9">
        <f>HDD!B12</f>
        <v>1125</v>
      </c>
      <c r="R15" s="9">
        <f>CDD!B12</f>
        <v>0</v>
      </c>
      <c r="T15" s="13">
        <f t="shared" si="10"/>
        <v>703.05678472018758</v>
      </c>
      <c r="U15" s="29">
        <f t="shared" si="4"/>
        <v>1066.5773525673894</v>
      </c>
      <c r="V15" s="29"/>
      <c r="W15" s="29">
        <f t="shared" si="5"/>
        <v>2.3995328062499999</v>
      </c>
      <c r="X15" s="38">
        <f t="shared" si="6"/>
        <v>3.6402285043124998</v>
      </c>
    </row>
    <row r="16" spans="2:24" s="9" customFormat="1">
      <c r="B16" s="1">
        <v>40299</v>
      </c>
      <c r="C16" s="14">
        <f>Propane!B12</f>
        <v>15.092187500000001</v>
      </c>
      <c r="D16" s="14">
        <f t="shared" si="11"/>
        <v>1.3831627631250001</v>
      </c>
      <c r="E16" s="13">
        <f t="shared" si="0"/>
        <v>1.3969943907562501</v>
      </c>
      <c r="G16" s="13">
        <f t="shared" si="7"/>
        <v>405.26304222824501</v>
      </c>
      <c r="H16" s="13">
        <f t="shared" si="8"/>
        <v>409.31567265052746</v>
      </c>
      <c r="I16" s="13"/>
      <c r="J16" s="1">
        <v>40299</v>
      </c>
      <c r="K16" s="25">
        <f>Elec!D13</f>
        <v>129</v>
      </c>
      <c r="M16" s="9">
        <f t="shared" si="12"/>
        <v>430.85999999999996</v>
      </c>
      <c r="O16" s="13">
        <f t="shared" si="9"/>
        <v>0.44027699999999997</v>
      </c>
      <c r="P16" s="13">
        <f t="shared" si="3"/>
        <v>1.4705251799999999</v>
      </c>
      <c r="Q16" s="9">
        <f>HDD!B13</f>
        <v>1199</v>
      </c>
      <c r="R16" s="9">
        <f>CDD!B13</f>
        <v>0</v>
      </c>
      <c r="T16" s="13">
        <f t="shared" si="10"/>
        <v>534.26304222824501</v>
      </c>
      <c r="U16" s="29">
        <f t="shared" si="4"/>
        <v>840.17567265052742</v>
      </c>
      <c r="V16" s="29"/>
      <c r="W16" s="29">
        <f t="shared" si="5"/>
        <v>1.8234397631250001</v>
      </c>
      <c r="X16" s="38">
        <f t="shared" si="6"/>
        <v>2.86751957075625</v>
      </c>
    </row>
    <row r="17" spans="2:24" s="9" customFormat="1">
      <c r="B17" s="1">
        <v>40330</v>
      </c>
      <c r="C17" s="14">
        <f>Propane!B13</f>
        <v>5.296875</v>
      </c>
      <c r="D17" s="14">
        <f t="shared" si="11"/>
        <v>0.48544588124999999</v>
      </c>
      <c r="E17" s="13">
        <f t="shared" si="0"/>
        <v>0.49030034006250001</v>
      </c>
      <c r="G17" s="13">
        <f t="shared" si="7"/>
        <v>142.23436309698215</v>
      </c>
      <c r="H17" s="13">
        <f t="shared" si="8"/>
        <v>143.65670672795196</v>
      </c>
      <c r="I17" s="13"/>
      <c r="J17" s="1">
        <v>40330</v>
      </c>
      <c r="K17" s="25">
        <f>Elec!D14</f>
        <v>118</v>
      </c>
      <c r="M17" s="9">
        <f t="shared" si="12"/>
        <v>394.12</v>
      </c>
      <c r="O17" s="13">
        <f t="shared" si="9"/>
        <v>0.40273399999999998</v>
      </c>
      <c r="P17" s="13">
        <f t="shared" si="3"/>
        <v>1.34513156</v>
      </c>
      <c r="Q17" s="9">
        <f>HDD!B14</f>
        <v>997</v>
      </c>
      <c r="R17" s="9">
        <f>CDD!B14</f>
        <v>0</v>
      </c>
      <c r="T17" s="13">
        <f t="shared" si="10"/>
        <v>260.23436309698218</v>
      </c>
      <c r="U17" s="29">
        <f t="shared" si="4"/>
        <v>537.77670672795193</v>
      </c>
      <c r="V17" s="29"/>
      <c r="W17" s="29">
        <f t="shared" si="5"/>
        <v>0.88817988124999991</v>
      </c>
      <c r="X17" s="38">
        <f t="shared" si="6"/>
        <v>1.8354319000624999</v>
      </c>
    </row>
    <row r="18" spans="2:24" s="9" customFormat="1">
      <c r="B18" s="1">
        <v>40370</v>
      </c>
      <c r="C18" s="14">
        <f>Propane!B14</f>
        <v>7.2843750000000007</v>
      </c>
      <c r="D18" s="14">
        <f t="shared" si="11"/>
        <v>0.66759548624999998</v>
      </c>
      <c r="E18" s="13">
        <f t="shared" si="0"/>
        <v>0.67427144111250004</v>
      </c>
      <c r="G18" s="13">
        <f t="shared" si="7"/>
        <v>195.60371703779668</v>
      </c>
      <c r="H18" s="13">
        <f t="shared" si="8"/>
        <v>197.55975420817467</v>
      </c>
      <c r="I18" s="13"/>
      <c r="J18" s="1">
        <v>40370</v>
      </c>
      <c r="K18" s="25">
        <f>Elec!D15</f>
        <v>119</v>
      </c>
      <c r="M18" s="9">
        <f t="shared" si="12"/>
        <v>397.46</v>
      </c>
      <c r="O18" s="13">
        <f t="shared" si="9"/>
        <v>0.40614699999999998</v>
      </c>
      <c r="P18" s="13">
        <f t="shared" si="3"/>
        <v>1.3565309799999998</v>
      </c>
      <c r="Q18" s="9">
        <f>HDD!B15</f>
        <v>698</v>
      </c>
      <c r="R18" s="9">
        <f>CDD!B15</f>
        <v>3</v>
      </c>
      <c r="T18" s="13">
        <f t="shared" si="10"/>
        <v>314.60371703779668</v>
      </c>
      <c r="U18" s="29">
        <f t="shared" si="4"/>
        <v>595.01975420817462</v>
      </c>
      <c r="V18" s="29"/>
      <c r="W18" s="29">
        <f t="shared" si="5"/>
        <v>1.07374248625</v>
      </c>
      <c r="X18" s="38">
        <f t="shared" si="6"/>
        <v>2.0308024211125</v>
      </c>
    </row>
    <row r="19" spans="2:24" s="9" customFormat="1">
      <c r="B19" s="1">
        <v>40401</v>
      </c>
      <c r="C19" s="14">
        <f>Propane!B15</f>
        <v>11.71111111111111</v>
      </c>
      <c r="D19" s="14">
        <f t="shared" si="11"/>
        <v>1.0732952266666667</v>
      </c>
      <c r="E19" s="13">
        <f t="shared" si="0"/>
        <v>1.0840281789333333</v>
      </c>
      <c r="G19" s="13">
        <f t="shared" si="7"/>
        <v>314.47267115929293</v>
      </c>
      <c r="H19" s="13">
        <f t="shared" si="8"/>
        <v>317.61739787088584</v>
      </c>
      <c r="I19" s="13"/>
      <c r="J19" s="1">
        <v>40401</v>
      </c>
      <c r="K19" s="25">
        <f>Elec!D16</f>
        <v>117</v>
      </c>
      <c r="M19" s="9">
        <f t="shared" si="12"/>
        <v>390.78</v>
      </c>
      <c r="O19" s="13">
        <f t="shared" si="9"/>
        <v>0.39932099999999998</v>
      </c>
      <c r="P19" s="13">
        <f t="shared" si="3"/>
        <v>1.3337321399999997</v>
      </c>
      <c r="Q19" s="9">
        <f>HDD!B16</f>
        <v>404</v>
      </c>
      <c r="R19" s="9">
        <f>CDD!B16</f>
        <v>29</v>
      </c>
      <c r="T19" s="13">
        <f t="shared" si="10"/>
        <v>431.47267115929293</v>
      </c>
      <c r="U19" s="29">
        <f t="shared" si="4"/>
        <v>708.39739787088581</v>
      </c>
      <c r="V19" s="29"/>
      <c r="W19" s="29">
        <f t="shared" si="5"/>
        <v>1.4726162266666667</v>
      </c>
      <c r="X19" s="38">
        <f t="shared" si="6"/>
        <v>2.417760318933333</v>
      </c>
    </row>
    <row r="20" spans="2:24" s="9" customFormat="1">
      <c r="B20" s="1">
        <v>40432</v>
      </c>
      <c r="C20" s="14">
        <f>Propane!B16</f>
        <v>11.333333333333332</v>
      </c>
      <c r="D20" s="14">
        <f t="shared" si="11"/>
        <v>1.0386727999999998</v>
      </c>
      <c r="E20" s="13">
        <f t="shared" si="0"/>
        <v>1.0490595279999999</v>
      </c>
      <c r="G20" s="13">
        <f t="shared" si="7"/>
        <v>304.32839144447701</v>
      </c>
      <c r="H20" s="13">
        <f t="shared" si="8"/>
        <v>307.37167535892178</v>
      </c>
      <c r="I20" s="13"/>
      <c r="J20" s="1">
        <v>40432</v>
      </c>
      <c r="K20" s="25">
        <f>Elec!D17</f>
        <v>146</v>
      </c>
      <c r="M20" s="9">
        <f t="shared" si="12"/>
        <v>487.64</v>
      </c>
      <c r="O20" s="13">
        <f t="shared" si="9"/>
        <v>0.49829799999999996</v>
      </c>
      <c r="P20" s="13">
        <f t="shared" si="3"/>
        <v>1.6643153199999998</v>
      </c>
      <c r="Q20" s="9">
        <f>HDD!B17</f>
        <v>216</v>
      </c>
      <c r="R20" s="9">
        <f>CDD!B17</f>
        <v>121</v>
      </c>
      <c r="T20" s="13">
        <f t="shared" si="10"/>
        <v>450.32839144447701</v>
      </c>
      <c r="U20" s="29">
        <f t="shared" si="4"/>
        <v>795.01167535892182</v>
      </c>
      <c r="V20" s="29"/>
      <c r="W20" s="29">
        <f t="shared" si="5"/>
        <v>1.5369707999999997</v>
      </c>
      <c r="X20" s="38">
        <f t="shared" si="6"/>
        <v>2.713374848</v>
      </c>
    </row>
    <row r="21" spans="2:24" s="9" customFormat="1">
      <c r="B21" s="1">
        <v>40462</v>
      </c>
      <c r="C21" s="14">
        <f>Propane!B17</f>
        <v>24.448412698412696</v>
      </c>
      <c r="D21" s="14">
        <f t="shared" si="11"/>
        <v>2.2406383476190475</v>
      </c>
      <c r="E21" s="13">
        <f>D21*E$7</f>
        <v>2.263044731095238</v>
      </c>
      <c r="G21" s="13">
        <f t="shared" si="7"/>
        <v>656.50112734223489</v>
      </c>
      <c r="H21" s="13">
        <f t="shared" si="8"/>
        <v>663.06613861565722</v>
      </c>
      <c r="I21" s="13"/>
      <c r="J21" s="1">
        <v>40462</v>
      </c>
      <c r="K21" s="25">
        <f>Elec!D18</f>
        <v>192</v>
      </c>
      <c r="M21" s="9">
        <f t="shared" si="12"/>
        <v>641.28</v>
      </c>
      <c r="O21" s="13">
        <f t="shared" si="9"/>
        <v>0.65529599999999999</v>
      </c>
      <c r="P21" s="13">
        <f t="shared" si="3"/>
        <v>2.1886886399999996</v>
      </c>
      <c r="Q21" s="9">
        <f>HDD!B18</f>
        <v>63</v>
      </c>
      <c r="R21" s="9">
        <f>CDD!B18</f>
        <v>180</v>
      </c>
      <c r="T21" s="13">
        <f t="shared" si="10"/>
        <v>848.50112734223489</v>
      </c>
      <c r="U21" s="29">
        <f t="shared" si="4"/>
        <v>1304.3461386156573</v>
      </c>
      <c r="V21" s="29"/>
      <c r="W21" s="29">
        <f t="shared" si="5"/>
        <v>2.8959343476190473</v>
      </c>
      <c r="X21" s="38">
        <f t="shared" si="6"/>
        <v>4.4517333710952371</v>
      </c>
    </row>
    <row r="22" spans="2:24" s="9" customFormat="1">
      <c r="B22" s="1">
        <v>40493</v>
      </c>
      <c r="C22" s="14">
        <f>Propane!B18</f>
        <v>46.071428571428577</v>
      </c>
      <c r="D22" s="14">
        <f t="shared" si="11"/>
        <v>4.2223358571428573</v>
      </c>
      <c r="E22" s="13">
        <f t="shared" ref="E22:E42" si="13">D22*E$7</f>
        <v>4.2645592157142858</v>
      </c>
      <c r="G22" s="13">
        <f t="shared" si="7"/>
        <v>1237.1332719434099</v>
      </c>
      <c r="H22" s="13">
        <f t="shared" si="8"/>
        <v>1249.5046046628438</v>
      </c>
      <c r="I22" s="13"/>
      <c r="J22" s="1">
        <v>40493</v>
      </c>
      <c r="K22" s="25">
        <f>Elec!D19</f>
        <v>263</v>
      </c>
      <c r="M22" s="9">
        <f t="shared" si="12"/>
        <v>878.42</v>
      </c>
      <c r="O22" s="13">
        <f t="shared" si="9"/>
        <v>0.89761899999999994</v>
      </c>
      <c r="P22" s="13">
        <f t="shared" si="3"/>
        <v>2.9980474599999996</v>
      </c>
      <c r="Q22" s="9">
        <f>HDD!B19</f>
        <v>20</v>
      </c>
      <c r="R22" s="9">
        <f>CDD!B19</f>
        <v>369</v>
      </c>
      <c r="T22" s="13">
        <f t="shared" si="10"/>
        <v>1500.1332719434099</v>
      </c>
      <c r="U22" s="29">
        <f t="shared" si="4"/>
        <v>2127.9246046628436</v>
      </c>
      <c r="V22" s="29"/>
      <c r="W22" s="29">
        <f t="shared" si="5"/>
        <v>5.119954857142857</v>
      </c>
      <c r="X22" s="38">
        <f t="shared" si="6"/>
        <v>7.2626066757142853</v>
      </c>
    </row>
    <row r="23" spans="2:24" s="9" customFormat="1">
      <c r="B23" s="1">
        <v>40523</v>
      </c>
      <c r="C23" s="14">
        <f>Propane!B19</f>
        <v>62.565126050420176</v>
      </c>
      <c r="D23" s="14">
        <f t="shared" si="11"/>
        <v>5.7339436462184876</v>
      </c>
      <c r="E23" s="13">
        <f t="shared" si="13"/>
        <v>5.7912830826806729</v>
      </c>
      <c r="G23" s="13">
        <f t="shared" si="7"/>
        <v>1680.0303680687043</v>
      </c>
      <c r="H23" s="13">
        <f t="shared" si="8"/>
        <v>1696.8306717493915</v>
      </c>
      <c r="I23" s="13"/>
      <c r="J23" s="1">
        <v>40523</v>
      </c>
      <c r="K23" s="25">
        <f>Elec!D20</f>
        <v>265</v>
      </c>
      <c r="M23" s="9">
        <f t="shared" si="12"/>
        <v>885.09999999999991</v>
      </c>
      <c r="O23" s="13">
        <f t="shared" si="9"/>
        <v>0.90444499999999994</v>
      </c>
      <c r="P23" s="13">
        <f t="shared" si="3"/>
        <v>3.0208462999999997</v>
      </c>
      <c r="Q23" s="9">
        <f>HDD!B20</f>
        <v>33</v>
      </c>
      <c r="R23" s="9">
        <f>CDD!B20</f>
        <v>257</v>
      </c>
      <c r="T23" s="13">
        <f t="shared" si="10"/>
        <v>1945.0303680687043</v>
      </c>
      <c r="U23" s="29">
        <f t="shared" si="4"/>
        <v>2581.9306717493914</v>
      </c>
      <c r="V23" s="29"/>
      <c r="W23" s="29">
        <f t="shared" si="5"/>
        <v>6.6383886462184876</v>
      </c>
      <c r="X23" s="38">
        <f t="shared" si="6"/>
        <v>8.8121293826806735</v>
      </c>
    </row>
    <row r="24" spans="2:24">
      <c r="B24" s="1">
        <v>40544</v>
      </c>
      <c r="C24" s="14">
        <f>Propane!B20</f>
        <v>74.649159663865547</v>
      </c>
      <c r="D24" s="14">
        <f t="shared" si="11"/>
        <v>6.8414163252100835</v>
      </c>
      <c r="E24" s="13">
        <f t="shared" si="13"/>
        <v>6.909830488462184</v>
      </c>
      <c r="G24" s="13">
        <f t="shared" ref="G24:G42" si="14">D24*E$1</f>
        <v>2004.516942634071</v>
      </c>
      <c r="H24" s="13">
        <f t="shared" ref="H24:H42" si="15">E24*E$1</f>
        <v>2024.5621120604117</v>
      </c>
      <c r="I24" s="13"/>
      <c r="J24" s="1">
        <v>40544</v>
      </c>
      <c r="K24" s="25">
        <f>Elec!D21</f>
        <v>311</v>
      </c>
      <c r="M24" s="9">
        <f t="shared" si="12"/>
        <v>1038.74</v>
      </c>
      <c r="O24" s="13">
        <f t="shared" si="9"/>
        <v>1.0614429999999999</v>
      </c>
      <c r="P24" s="13">
        <f t="shared" si="3"/>
        <v>3.5452196199999997</v>
      </c>
      <c r="Q24" s="9">
        <f>HDD!B21</f>
        <v>98</v>
      </c>
      <c r="R24" s="9">
        <f>CDD!B21</f>
        <v>146</v>
      </c>
      <c r="T24" s="13">
        <f t="shared" si="10"/>
        <v>2315.5169426340708</v>
      </c>
      <c r="U24" s="29">
        <f t="shared" si="4"/>
        <v>3063.3021120604117</v>
      </c>
      <c r="V24" s="29"/>
      <c r="W24" s="29">
        <f t="shared" si="5"/>
        <v>7.9028593252100832</v>
      </c>
      <c r="X24" s="38">
        <f t="shared" si="6"/>
        <v>10.455050108462183</v>
      </c>
    </row>
    <row r="25" spans="2:24">
      <c r="B25" s="1">
        <v>40575</v>
      </c>
      <c r="C25" s="14">
        <f>Propane!B21</f>
        <v>57.282539682539692</v>
      </c>
      <c r="D25" s="14">
        <f t="shared" si="11"/>
        <v>5.2498072838095249</v>
      </c>
      <c r="E25" s="13">
        <f t="shared" si="13"/>
        <v>5.3023053566476204</v>
      </c>
      <c r="G25" s="13">
        <f t="shared" si="14"/>
        <v>1538.179690538976</v>
      </c>
      <c r="H25" s="13">
        <f t="shared" si="15"/>
        <v>1553.5614874443659</v>
      </c>
      <c r="I25" s="13"/>
      <c r="J25" s="1">
        <v>40575</v>
      </c>
      <c r="K25" s="25">
        <f>Elec!D22</f>
        <v>282</v>
      </c>
      <c r="M25" s="9">
        <f t="shared" si="12"/>
        <v>941.88</v>
      </c>
      <c r="O25" s="13">
        <f t="shared" si="9"/>
        <v>0.96246599999999993</v>
      </c>
      <c r="P25" s="13">
        <f t="shared" si="3"/>
        <v>3.2146364399999996</v>
      </c>
      <c r="Q25" s="9">
        <f>HDD!B22</f>
        <v>407</v>
      </c>
      <c r="R25" s="9">
        <f>CDD!B22</f>
        <v>16</v>
      </c>
      <c r="T25" s="13">
        <f t="shared" si="10"/>
        <v>1820.179690538976</v>
      </c>
      <c r="U25" s="29">
        <f t="shared" si="4"/>
        <v>2495.441487444366</v>
      </c>
      <c r="V25" s="29"/>
      <c r="W25" s="29">
        <f t="shared" si="5"/>
        <v>6.2122732838095249</v>
      </c>
      <c r="X25" s="38">
        <f t="shared" si="6"/>
        <v>8.51694179664762</v>
      </c>
    </row>
    <row r="26" spans="2:24">
      <c r="B26" s="1">
        <v>40603</v>
      </c>
      <c r="C26" s="14">
        <f>Propane!B22</f>
        <v>46.720707070707078</v>
      </c>
      <c r="D26" s="14">
        <f t="shared" si="11"/>
        <v>4.2818406733333338</v>
      </c>
      <c r="E26" s="13">
        <f t="shared" si="13"/>
        <v>4.3246590800666675</v>
      </c>
      <c r="G26" s="13">
        <f t="shared" si="14"/>
        <v>1254.5680261744315</v>
      </c>
      <c r="H26" s="13">
        <f t="shared" si="15"/>
        <v>1267.1137064361758</v>
      </c>
      <c r="I26" s="13"/>
      <c r="J26" s="1">
        <v>40603</v>
      </c>
      <c r="K26" s="25">
        <f>Elec!D23</f>
        <v>266</v>
      </c>
      <c r="M26" s="9">
        <f t="shared" si="12"/>
        <v>888.43999999999994</v>
      </c>
      <c r="O26" s="13">
        <f t="shared" si="9"/>
        <v>0.90785799999999994</v>
      </c>
      <c r="P26" s="13">
        <f t="shared" si="3"/>
        <v>3.0322457199999997</v>
      </c>
      <c r="Q26" s="9">
        <f>HDD!B23</f>
        <v>708</v>
      </c>
      <c r="R26" s="9">
        <f>CDD!B23</f>
        <v>0</v>
      </c>
      <c r="T26" s="13">
        <f t="shared" si="10"/>
        <v>1520.5680261744315</v>
      </c>
      <c r="U26" s="29">
        <f t="shared" si="4"/>
        <v>2155.5537064361756</v>
      </c>
      <c r="V26" s="29"/>
      <c r="W26" s="29">
        <f t="shared" si="5"/>
        <v>5.1896986733333339</v>
      </c>
      <c r="X26" s="38">
        <f t="shared" si="6"/>
        <v>7.3569048000666672</v>
      </c>
    </row>
    <row r="27" spans="2:24">
      <c r="B27" s="1">
        <v>40634</v>
      </c>
      <c r="C27" s="14">
        <f>Propane!B23</f>
        <v>26.18181818181818</v>
      </c>
      <c r="D27" s="14">
        <f t="shared" si="11"/>
        <v>2.3995007999999998</v>
      </c>
      <c r="E27" s="13">
        <f t="shared" si="13"/>
        <v>2.4234958079999998</v>
      </c>
      <c r="G27" s="13">
        <f t="shared" si="14"/>
        <v>703.04740697333727</v>
      </c>
      <c r="H27" s="13">
        <f t="shared" si="15"/>
        <v>710.07788104307065</v>
      </c>
      <c r="I27" s="13"/>
      <c r="J27" s="1">
        <v>40634</v>
      </c>
      <c r="K27" s="25">
        <f>Elec!D24</f>
        <v>318</v>
      </c>
      <c r="M27" s="9">
        <f t="shared" si="12"/>
        <v>1062.1199999999999</v>
      </c>
      <c r="O27" s="13">
        <f t="shared" si="9"/>
        <v>1.085334</v>
      </c>
      <c r="P27" s="13">
        <f t="shared" si="3"/>
        <v>3.6250155599999996</v>
      </c>
      <c r="Q27" s="9">
        <f>HDD!B24</f>
        <v>1130</v>
      </c>
      <c r="R27" s="9">
        <f>CDD!B24</f>
        <v>0</v>
      </c>
      <c r="T27" s="13">
        <f t="shared" si="10"/>
        <v>1021.0474069733373</v>
      </c>
      <c r="U27" s="29">
        <f t="shared" si="4"/>
        <v>1772.1978810430705</v>
      </c>
      <c r="V27" s="29"/>
      <c r="W27" s="29">
        <f t="shared" si="5"/>
        <v>3.4848347999999998</v>
      </c>
      <c r="X27" s="38">
        <f t="shared" si="6"/>
        <v>6.0485113679999998</v>
      </c>
    </row>
    <row r="28" spans="2:24">
      <c r="B28" s="1">
        <v>40664</v>
      </c>
      <c r="C28" s="14">
        <f>Propane!B24</f>
        <v>11.088636363636365</v>
      </c>
      <c r="D28" s="14">
        <f t="shared" si="11"/>
        <v>1.01624691</v>
      </c>
      <c r="E28" s="13">
        <f t="shared" si="13"/>
        <v>1.0264093791</v>
      </c>
      <c r="G28" s="13">
        <f t="shared" si="14"/>
        <v>297.75766481101675</v>
      </c>
      <c r="H28" s="13">
        <f t="shared" si="15"/>
        <v>300.73524145912688</v>
      </c>
      <c r="I28" s="13"/>
      <c r="J28" s="1">
        <v>40664</v>
      </c>
      <c r="K28" s="25">
        <f>Elec!D25</f>
        <v>266</v>
      </c>
      <c r="M28" s="9">
        <f t="shared" si="12"/>
        <v>888.43999999999994</v>
      </c>
      <c r="O28" s="13">
        <f t="shared" si="9"/>
        <v>0.90785799999999994</v>
      </c>
      <c r="P28" s="13">
        <f t="shared" si="3"/>
        <v>3.0322457199999997</v>
      </c>
      <c r="Q28" s="9">
        <f>HDD!B25</f>
        <v>1309</v>
      </c>
      <c r="R28" s="9">
        <f>CDD!B25</f>
        <v>0</v>
      </c>
      <c r="T28" s="13">
        <f t="shared" si="10"/>
        <v>563.75766481101675</v>
      </c>
      <c r="U28" s="29">
        <f t="shared" si="4"/>
        <v>1189.1752414591269</v>
      </c>
      <c r="V28" s="29"/>
      <c r="W28" s="29">
        <f t="shared" si="5"/>
        <v>1.9241049100000001</v>
      </c>
      <c r="X28" s="38">
        <f t="shared" si="6"/>
        <v>4.0586550990999992</v>
      </c>
    </row>
    <row r="29" spans="2:24">
      <c r="B29" s="1">
        <v>40695</v>
      </c>
      <c r="C29" s="14">
        <f>Propane!B25</f>
        <v>7.0227272727272734</v>
      </c>
      <c r="D29" s="14">
        <f t="shared" si="11"/>
        <v>0.64361610000000002</v>
      </c>
      <c r="E29" s="13">
        <f t="shared" si="13"/>
        <v>0.65005226100000002</v>
      </c>
      <c r="G29" s="13">
        <f t="shared" si="14"/>
        <v>188.57782009961912</v>
      </c>
      <c r="H29" s="13">
        <f t="shared" si="15"/>
        <v>190.46359830061533</v>
      </c>
      <c r="I29" s="13"/>
      <c r="J29" s="1">
        <v>40695</v>
      </c>
      <c r="K29" s="25">
        <f>Elec!D26</f>
        <v>169</v>
      </c>
      <c r="M29" s="9">
        <f t="shared" si="12"/>
        <v>564.45999999999992</v>
      </c>
      <c r="O29" s="13">
        <f t="shared" si="9"/>
        <v>0.576797</v>
      </c>
      <c r="P29" s="13">
        <f t="shared" si="3"/>
        <v>1.9265019799999996</v>
      </c>
      <c r="Q29" s="9">
        <f>HDD!B26</f>
        <v>1080</v>
      </c>
      <c r="R29" s="9">
        <f>CDD!B26</f>
        <v>0</v>
      </c>
      <c r="T29" s="13">
        <f t="shared" si="10"/>
        <v>357.57782009961909</v>
      </c>
      <c r="U29" s="29">
        <f t="shared" si="4"/>
        <v>754.92359830061525</v>
      </c>
      <c r="V29" s="29"/>
      <c r="W29" s="29">
        <f t="shared" si="5"/>
        <v>1.2204131</v>
      </c>
      <c r="X29" s="38">
        <f t="shared" si="6"/>
        <v>2.5765542409999997</v>
      </c>
    </row>
    <row r="30" spans="2:24">
      <c r="B30" s="1">
        <v>40735</v>
      </c>
      <c r="C30" s="14">
        <f>Propane!B26</f>
        <v>7.2568181818181818</v>
      </c>
      <c r="D30" s="14">
        <f t="shared" si="11"/>
        <v>0.66506997000000001</v>
      </c>
      <c r="E30" s="13">
        <f t="shared" si="13"/>
        <v>0.67172066969999999</v>
      </c>
      <c r="G30" s="13">
        <f t="shared" si="14"/>
        <v>194.86374743627309</v>
      </c>
      <c r="H30" s="13">
        <f t="shared" si="15"/>
        <v>196.81238491063581</v>
      </c>
      <c r="I30" s="13"/>
      <c r="J30" s="1">
        <v>40725</v>
      </c>
      <c r="K30" s="25">
        <f>Elec!D27</f>
        <v>147</v>
      </c>
      <c r="M30" s="9">
        <f t="shared" si="12"/>
        <v>490.97999999999996</v>
      </c>
      <c r="O30" s="13">
        <f t="shared" si="9"/>
        <v>0.50171100000000002</v>
      </c>
      <c r="P30" s="13">
        <f t="shared" si="3"/>
        <v>1.6757147399999999</v>
      </c>
      <c r="Q30" s="9">
        <f>HDD!B27</f>
        <v>883</v>
      </c>
      <c r="R30" s="9">
        <f>CDD!B27</f>
        <v>0</v>
      </c>
      <c r="T30" s="13">
        <f t="shared" si="10"/>
        <v>341.86374743627312</v>
      </c>
      <c r="U30" s="29">
        <f t="shared" si="4"/>
        <v>687.79238491063575</v>
      </c>
      <c r="V30" s="29"/>
      <c r="W30" s="29">
        <f t="shared" si="5"/>
        <v>1.16678097</v>
      </c>
      <c r="X30" s="38">
        <f t="shared" si="6"/>
        <v>2.3474354097000001</v>
      </c>
    </row>
    <row r="31" spans="2:24">
      <c r="B31" s="1">
        <v>40766</v>
      </c>
      <c r="C31" s="14">
        <f>Propane!B27</f>
        <v>8.9087347155768217</v>
      </c>
      <c r="D31" s="14">
        <f t="shared" si="11"/>
        <v>0.81646415571929831</v>
      </c>
      <c r="E31" s="13">
        <f t="shared" si="13"/>
        <v>0.8246287972764913</v>
      </c>
      <c r="G31" s="13">
        <f t="shared" si="14"/>
        <v>239.22184462915277</v>
      </c>
      <c r="H31" s="13">
        <f t="shared" si="15"/>
        <v>241.61406307544431</v>
      </c>
      <c r="I31" s="13"/>
      <c r="J31" s="1">
        <v>40756</v>
      </c>
      <c r="K31" s="25">
        <f>Elec!D28</f>
        <v>119</v>
      </c>
      <c r="M31" s="9">
        <f t="shared" si="12"/>
        <v>397.46</v>
      </c>
      <c r="O31" s="13">
        <f t="shared" si="9"/>
        <v>0.40614699999999998</v>
      </c>
      <c r="P31" s="13">
        <f t="shared" si="3"/>
        <v>1.3565309799999998</v>
      </c>
      <c r="Q31" s="9">
        <f>HDD!B28</f>
        <v>471</v>
      </c>
      <c r="R31" s="9">
        <f>CDD!B28</f>
        <v>13</v>
      </c>
      <c r="T31" s="13">
        <f t="shared" si="10"/>
        <v>358.22184462915277</v>
      </c>
      <c r="U31" s="29">
        <f t="shared" si="4"/>
        <v>639.07406307544431</v>
      </c>
      <c r="V31" s="29"/>
      <c r="W31" s="29">
        <f t="shared" si="5"/>
        <v>1.2226111557192982</v>
      </c>
      <c r="X31" s="38">
        <f t="shared" si="6"/>
        <v>2.1811597772764912</v>
      </c>
    </row>
    <row r="32" spans="2:24">
      <c r="B32" s="1">
        <v>40797</v>
      </c>
      <c r="C32" s="14">
        <f>Propane!B28</f>
        <v>10.468239633173845</v>
      </c>
      <c r="D32" s="14">
        <f t="shared" si="11"/>
        <v>0.95938903860526314</v>
      </c>
      <c r="E32" s="13">
        <f t="shared" si="13"/>
        <v>0.96898292899131577</v>
      </c>
      <c r="G32" s="13">
        <f t="shared" si="14"/>
        <v>281.09845842521628</v>
      </c>
      <c r="H32" s="13">
        <f t="shared" si="15"/>
        <v>283.90944300946848</v>
      </c>
      <c r="I32" s="13"/>
      <c r="J32" s="1">
        <v>40787</v>
      </c>
      <c r="K32" s="25">
        <f>Elec!D29</f>
        <v>128</v>
      </c>
      <c r="M32" s="9">
        <f t="shared" si="12"/>
        <v>427.52</v>
      </c>
      <c r="O32" s="13">
        <f t="shared" si="9"/>
        <v>0.43686399999999997</v>
      </c>
      <c r="P32" s="13">
        <f t="shared" si="3"/>
        <v>1.4591257599999998</v>
      </c>
      <c r="Q32" s="9">
        <f>HDD!B29</f>
        <v>189</v>
      </c>
      <c r="R32" s="9">
        <f>CDD!B29</f>
        <v>86</v>
      </c>
      <c r="T32" s="13">
        <f t="shared" si="10"/>
        <v>409.09845842521628</v>
      </c>
      <c r="U32" s="29">
        <f t="shared" si="4"/>
        <v>711.42944300946851</v>
      </c>
      <c r="V32" s="29"/>
      <c r="W32" s="29">
        <f t="shared" si="5"/>
        <v>1.3962530386052632</v>
      </c>
      <c r="X32" s="38">
        <f t="shared" si="6"/>
        <v>2.4281086889913155</v>
      </c>
    </row>
    <row r="33" spans="1:24">
      <c r="B33" s="1">
        <v>40827</v>
      </c>
      <c r="C33" s="14">
        <f>Propane!B29</f>
        <v>23.552557814992028</v>
      </c>
      <c r="D33" s="14">
        <f t="shared" si="11"/>
        <v>2.1585353976052635</v>
      </c>
      <c r="E33" s="13">
        <f t="shared" si="13"/>
        <v>2.1801207515813159</v>
      </c>
      <c r="G33" s="13">
        <f t="shared" si="14"/>
        <v>632.44517949172689</v>
      </c>
      <c r="H33" s="13">
        <f t="shared" si="15"/>
        <v>638.76963128664408</v>
      </c>
      <c r="I33" s="13"/>
      <c r="J33" s="1">
        <v>40817</v>
      </c>
      <c r="K33" s="25">
        <f>Elec!D30</f>
        <v>149</v>
      </c>
      <c r="M33" s="9">
        <f t="shared" si="12"/>
        <v>497.65999999999997</v>
      </c>
      <c r="O33" s="13">
        <f t="shared" si="9"/>
        <v>0.50853700000000002</v>
      </c>
      <c r="P33" s="13">
        <f t="shared" si="3"/>
        <v>1.6985135799999997</v>
      </c>
      <c r="Q33" s="9">
        <f>HDD!B30</f>
        <v>69</v>
      </c>
      <c r="R33" s="9">
        <f>CDD!B30</f>
        <v>157</v>
      </c>
      <c r="T33" s="13">
        <f t="shared" si="10"/>
        <v>781.44517949172689</v>
      </c>
      <c r="U33" s="29">
        <f t="shared" si="4"/>
        <v>1136.4296312866441</v>
      </c>
      <c r="V33" s="29"/>
      <c r="W33" s="29">
        <f t="shared" si="5"/>
        <v>2.6670723976052635</v>
      </c>
      <c r="X33" s="38">
        <f t="shared" si="6"/>
        <v>3.8786343315813157</v>
      </c>
    </row>
    <row r="34" spans="1:24">
      <c r="B34" s="1">
        <v>40858</v>
      </c>
      <c r="C34" s="14">
        <f>Propane!B30</f>
        <v>36.985588429949331</v>
      </c>
      <c r="D34" s="14">
        <f t="shared" si="11"/>
        <v>3.3896404141926242</v>
      </c>
      <c r="E34" s="13">
        <f t="shared" si="13"/>
        <v>3.4235368183345503</v>
      </c>
      <c r="G34" s="13">
        <f t="shared" si="14"/>
        <v>993.15570295711234</v>
      </c>
      <c r="H34" s="13">
        <f t="shared" si="15"/>
        <v>1003.0872599866834</v>
      </c>
      <c r="I34" s="13"/>
      <c r="J34" s="1">
        <v>40848</v>
      </c>
      <c r="K34" s="25">
        <f>Elec!D31</f>
        <v>171</v>
      </c>
      <c r="M34" s="9">
        <f t="shared" si="12"/>
        <v>571.14</v>
      </c>
      <c r="O34" s="13">
        <f t="shared" si="9"/>
        <v>0.583623</v>
      </c>
      <c r="P34" s="13">
        <f t="shared" si="3"/>
        <v>1.9493008199999999</v>
      </c>
      <c r="Q34" s="9">
        <f>HDD!B31</f>
        <v>16</v>
      </c>
      <c r="R34" s="9">
        <f>CDD!B31</f>
        <v>329</v>
      </c>
      <c r="T34" s="13">
        <f t="shared" si="10"/>
        <v>1164.1557029571122</v>
      </c>
      <c r="U34" s="29">
        <f t="shared" si="4"/>
        <v>1574.2272599866833</v>
      </c>
      <c r="V34" s="29"/>
      <c r="W34" s="29">
        <f t="shared" si="5"/>
        <v>3.9732634141926244</v>
      </c>
      <c r="X34" s="38">
        <f t="shared" si="6"/>
        <v>5.3728376383345502</v>
      </c>
    </row>
    <row r="35" spans="1:24">
      <c r="B35" s="1">
        <v>40888</v>
      </c>
      <c r="C35" s="14">
        <f>Propane!B31</f>
        <v>56.179591836734694</v>
      </c>
      <c r="D35" s="14">
        <f t="shared" si="11"/>
        <v>5.148724760816326</v>
      </c>
      <c r="E35" s="13">
        <f t="shared" si="13"/>
        <v>5.2002120084244892</v>
      </c>
      <c r="G35" s="13">
        <f t="shared" si="14"/>
        <v>1508.562777854183</v>
      </c>
      <c r="H35" s="13">
        <f t="shared" si="15"/>
        <v>1523.6484056327247</v>
      </c>
      <c r="I35" s="13"/>
      <c r="J35" s="1">
        <v>40878</v>
      </c>
      <c r="K35" s="25">
        <f>Elec!D32</f>
        <v>166</v>
      </c>
      <c r="M35" s="9">
        <f t="shared" si="12"/>
        <v>554.43999999999994</v>
      </c>
      <c r="O35" s="13">
        <f t="shared" si="9"/>
        <v>0.56655800000000001</v>
      </c>
      <c r="P35" s="13">
        <f t="shared" si="3"/>
        <v>1.8923037199999997</v>
      </c>
      <c r="Q35" s="9">
        <f>HDD!B32</f>
        <v>34</v>
      </c>
      <c r="R35" s="9">
        <f>CDD!B32</f>
        <v>215</v>
      </c>
      <c r="T35" s="13">
        <f t="shared" si="10"/>
        <v>1674.562777854183</v>
      </c>
      <c r="U35" s="29">
        <f t="shared" si="4"/>
        <v>2078.0884056327245</v>
      </c>
      <c r="V35" s="29"/>
      <c r="W35" s="29">
        <f t="shared" si="5"/>
        <v>5.7152827608163257</v>
      </c>
      <c r="X35" s="38">
        <f t="shared" si="6"/>
        <v>7.0925157284244893</v>
      </c>
    </row>
    <row r="36" spans="1:24">
      <c r="B36" s="1">
        <v>40920</v>
      </c>
      <c r="C36" s="14">
        <f>Propane!B32</f>
        <v>67.480612244897955</v>
      </c>
      <c r="D36" s="14">
        <f t="shared" si="11"/>
        <v>6.1844361587755099</v>
      </c>
      <c r="E36" s="13">
        <f t="shared" si="13"/>
        <v>6.246280520363265</v>
      </c>
      <c r="G36" s="13">
        <f t="shared" si="14"/>
        <v>1812.0234863098478</v>
      </c>
      <c r="H36" s="13">
        <f t="shared" si="15"/>
        <v>1830.1437211729462</v>
      </c>
      <c r="I36" s="13"/>
      <c r="J36" s="1">
        <v>40909</v>
      </c>
      <c r="K36" s="25">
        <f>Elec!D33</f>
        <v>255</v>
      </c>
      <c r="M36" s="9">
        <f t="shared" si="12"/>
        <v>851.69999999999993</v>
      </c>
      <c r="O36" s="13">
        <f t="shared" si="9"/>
        <v>0.87031499999999995</v>
      </c>
      <c r="P36" s="13">
        <f t="shared" si="3"/>
        <v>2.9068520999999996</v>
      </c>
      <c r="Q36" s="9">
        <f>HDD!B33</f>
        <v>87</v>
      </c>
      <c r="R36" s="9">
        <f>CDD!B33</f>
        <v>115</v>
      </c>
      <c r="T36" s="13">
        <f t="shared" si="10"/>
        <v>2067.0234863098476</v>
      </c>
      <c r="U36" s="29">
        <f t="shared" si="4"/>
        <v>2681.8437211729461</v>
      </c>
      <c r="V36" s="29"/>
      <c r="W36" s="29">
        <f t="shared" si="5"/>
        <v>7.0547511587755096</v>
      </c>
      <c r="X36" s="38">
        <f t="shared" si="6"/>
        <v>9.1531326203632641</v>
      </c>
    </row>
    <row r="37" spans="1:24">
      <c r="B37" s="1">
        <v>40940</v>
      </c>
      <c r="C37" s="14">
        <f>Propane!B33</f>
        <v>57.05649350649351</v>
      </c>
      <c r="D37" s="14">
        <f t="shared" si="11"/>
        <v>5.2290906942857145</v>
      </c>
      <c r="E37" s="13">
        <f t="shared" si="13"/>
        <v>5.2813816012285715</v>
      </c>
      <c r="G37" s="13">
        <f t="shared" si="14"/>
        <v>1532.1097844376545</v>
      </c>
      <c r="H37" s="13">
        <f t="shared" si="15"/>
        <v>1547.430882282031</v>
      </c>
      <c r="I37" s="13"/>
      <c r="J37" s="1">
        <v>40940</v>
      </c>
      <c r="K37" s="25">
        <f>Elec!D34</f>
        <v>176</v>
      </c>
      <c r="M37" s="9">
        <f t="shared" si="12"/>
        <v>587.83999999999992</v>
      </c>
      <c r="O37" s="13">
        <f t="shared" si="9"/>
        <v>0.600688</v>
      </c>
      <c r="P37" s="13">
        <f t="shared" si="3"/>
        <v>2.0062979199999997</v>
      </c>
      <c r="Q37" s="9">
        <f>HDD!B34</f>
        <v>429</v>
      </c>
      <c r="R37" s="9">
        <f>CDD!B34</f>
        <v>17</v>
      </c>
      <c r="T37" s="13">
        <f t="shared" si="10"/>
        <v>1708.1097844376545</v>
      </c>
      <c r="U37" s="29">
        <f t="shared" si="4"/>
        <v>2135.2708822820309</v>
      </c>
      <c r="V37" s="29"/>
      <c r="W37" s="29">
        <f t="shared" si="5"/>
        <v>5.8297786942857144</v>
      </c>
      <c r="X37" s="38">
        <f t="shared" si="6"/>
        <v>7.2876795212285712</v>
      </c>
    </row>
    <row r="38" spans="1:24">
      <c r="B38" s="1">
        <v>40969</v>
      </c>
      <c r="C38" s="14">
        <f>Propane!B34</f>
        <v>36.072727272727278</v>
      </c>
      <c r="D38" s="14">
        <f t="shared" si="11"/>
        <v>3.3059788800000005</v>
      </c>
      <c r="E38" s="13">
        <f t="shared" si="13"/>
        <v>3.3390386688000007</v>
      </c>
      <c r="G38" s="13">
        <f t="shared" si="14"/>
        <v>968.64309405215374</v>
      </c>
      <c r="H38" s="13">
        <f t="shared" si="15"/>
        <v>978.32952499267537</v>
      </c>
      <c r="I38" s="13"/>
      <c r="J38" s="1">
        <v>40969</v>
      </c>
      <c r="K38" s="25">
        <f>Elec!D35</f>
        <v>160</v>
      </c>
      <c r="M38" s="9">
        <f t="shared" si="12"/>
        <v>534.4</v>
      </c>
      <c r="O38" s="13">
        <f t="shared" si="9"/>
        <v>0.54608000000000001</v>
      </c>
      <c r="P38" s="13">
        <f t="shared" si="3"/>
        <v>1.8239071999999998</v>
      </c>
      <c r="Q38" s="9">
        <f>HDD!B35</f>
        <v>610</v>
      </c>
      <c r="R38" s="9">
        <f>CDD!B35</f>
        <v>1</v>
      </c>
      <c r="T38" s="13">
        <f t="shared" si="10"/>
        <v>1128.6430940521536</v>
      </c>
      <c r="U38" s="29">
        <f t="shared" si="4"/>
        <v>1512.7295249926754</v>
      </c>
      <c r="V38" s="29"/>
      <c r="W38" s="29">
        <f t="shared" si="5"/>
        <v>3.8520588800000004</v>
      </c>
      <c r="X38" s="38">
        <f t="shared" si="6"/>
        <v>5.1629458688000005</v>
      </c>
    </row>
    <row r="39" spans="1:24">
      <c r="B39" s="1">
        <v>41000</v>
      </c>
      <c r="C39" s="14">
        <f>Propane!B35</f>
        <v>18.009350649350651</v>
      </c>
      <c r="D39" s="14">
        <f t="shared" si="11"/>
        <v>1.6505137645714287</v>
      </c>
      <c r="E39" s="13">
        <f t="shared" si="13"/>
        <v>1.6670189022171431</v>
      </c>
      <c r="G39" s="13">
        <f t="shared" si="14"/>
        <v>483.59618065380278</v>
      </c>
      <c r="H39" s="13">
        <f t="shared" si="15"/>
        <v>488.43214246034086</v>
      </c>
      <c r="I39" s="13"/>
      <c r="J39" s="1">
        <v>41000</v>
      </c>
      <c r="K39" s="25">
        <f>Elec!D36</f>
        <v>158</v>
      </c>
      <c r="M39" s="9">
        <f t="shared" si="12"/>
        <v>527.72</v>
      </c>
      <c r="O39" s="13">
        <f t="shared" si="9"/>
        <v>0.53925400000000001</v>
      </c>
      <c r="P39" s="13">
        <f t="shared" si="3"/>
        <v>1.80110836</v>
      </c>
      <c r="Q39" s="9">
        <f>HDD!B36</f>
        <v>906</v>
      </c>
      <c r="R39" s="9">
        <f>CDD!B36</f>
        <v>0</v>
      </c>
      <c r="T39" s="13">
        <f t="shared" si="10"/>
        <v>641.59618065380278</v>
      </c>
      <c r="U39" s="29">
        <f t="shared" si="4"/>
        <v>1016.1521424603409</v>
      </c>
      <c r="V39" s="29"/>
      <c r="W39" s="29">
        <f t="shared" si="5"/>
        <v>2.1897677645714286</v>
      </c>
      <c r="X39" s="38">
        <f t="shared" si="6"/>
        <v>3.4681272622171431</v>
      </c>
    </row>
    <row r="40" spans="1:24">
      <c r="B40" s="1">
        <v>41030</v>
      </c>
      <c r="C40" s="14">
        <f>Propane!B36</f>
        <v>6.7428571428571429</v>
      </c>
      <c r="D40" s="14">
        <f t="shared" si="11"/>
        <v>0.61796667428571428</v>
      </c>
      <c r="E40" s="13">
        <f t="shared" si="13"/>
        <v>0.62414634102857147</v>
      </c>
      <c r="G40" s="13">
        <f t="shared" si="14"/>
        <v>181.06260600226028</v>
      </c>
      <c r="H40" s="13">
        <f t="shared" si="15"/>
        <v>182.87323206228291</v>
      </c>
      <c r="I40" s="13"/>
      <c r="J40" s="1">
        <v>41030</v>
      </c>
      <c r="K40" s="25">
        <f>Elec!D37</f>
        <v>120</v>
      </c>
      <c r="M40" s="9">
        <f t="shared" si="12"/>
        <v>400.79999999999995</v>
      </c>
      <c r="O40" s="13">
        <f t="shared" si="9"/>
        <v>0.40955999999999998</v>
      </c>
      <c r="P40" s="13">
        <f t="shared" si="3"/>
        <v>1.3679303999999997</v>
      </c>
      <c r="Q40" s="9">
        <f>HDD!B37</f>
        <v>1071</v>
      </c>
      <c r="R40" s="9">
        <f>CDD!B37</f>
        <v>0</v>
      </c>
      <c r="T40" s="13">
        <f t="shared" si="10"/>
        <v>301.06260600226028</v>
      </c>
      <c r="U40" s="29">
        <f t="shared" si="4"/>
        <v>583.67323206228286</v>
      </c>
      <c r="V40" s="29"/>
      <c r="W40" s="29">
        <f t="shared" si="5"/>
        <v>1.0275266742857143</v>
      </c>
      <c r="X40" s="38">
        <f t="shared" si="6"/>
        <v>1.9920767410285711</v>
      </c>
    </row>
    <row r="41" spans="1:24">
      <c r="B41" s="1">
        <v>41061</v>
      </c>
      <c r="C41" s="14">
        <f>Propane!B37</f>
        <v>6.9676190476190483</v>
      </c>
      <c r="D41" s="14">
        <f t="shared" si="11"/>
        <v>0.6385655634285714</v>
      </c>
      <c r="E41" s="13">
        <f t="shared" si="13"/>
        <v>0.64495121906285713</v>
      </c>
      <c r="G41" s="13">
        <f t="shared" si="14"/>
        <v>187.09802620233563</v>
      </c>
      <c r="H41" s="13">
        <f t="shared" si="15"/>
        <v>188.96900646435898</v>
      </c>
      <c r="I41" s="13"/>
      <c r="J41" s="1">
        <v>41061</v>
      </c>
      <c r="K41" s="25">
        <f>Elec!D38</f>
        <v>126</v>
      </c>
      <c r="M41" s="9">
        <f t="shared" si="12"/>
        <v>420.84</v>
      </c>
      <c r="O41" s="13">
        <f t="shared" si="9"/>
        <v>0.43003799999999998</v>
      </c>
      <c r="P41" s="13">
        <f t="shared" si="3"/>
        <v>1.4363269199999997</v>
      </c>
      <c r="Q41" s="9">
        <f>HDD!B38</f>
        <v>890</v>
      </c>
      <c r="R41" s="9">
        <f>CDD!B38</f>
        <v>0</v>
      </c>
      <c r="T41" s="13">
        <f t="shared" si="10"/>
        <v>313.09802620233563</v>
      </c>
      <c r="U41" s="29">
        <f t="shared" si="4"/>
        <v>609.80900646435896</v>
      </c>
      <c r="V41" s="29"/>
      <c r="W41" s="29">
        <f t="shared" si="5"/>
        <v>1.0686035634285713</v>
      </c>
      <c r="X41" s="38">
        <f t="shared" si="6"/>
        <v>2.081278139062857</v>
      </c>
    </row>
    <row r="42" spans="1:24">
      <c r="B42" s="1">
        <v>41101</v>
      </c>
      <c r="C42" s="14">
        <f>Propane!B38</f>
        <v>6.9676190476190483</v>
      </c>
      <c r="D42" s="14">
        <f t="shared" si="11"/>
        <v>0.6385655634285714</v>
      </c>
      <c r="E42" s="13">
        <f t="shared" si="13"/>
        <v>0.64495121906285713</v>
      </c>
      <c r="G42" s="13">
        <f t="shared" si="14"/>
        <v>187.09802620233563</v>
      </c>
      <c r="H42" s="13">
        <f t="shared" si="15"/>
        <v>188.96900646435898</v>
      </c>
      <c r="I42" s="13"/>
      <c r="J42" s="1">
        <v>41091</v>
      </c>
      <c r="K42" s="25">
        <f>Elec!D39</f>
        <v>145</v>
      </c>
      <c r="M42" s="9">
        <f t="shared" si="12"/>
        <v>484.29999999999995</v>
      </c>
      <c r="O42" s="13">
        <f t="shared" si="9"/>
        <v>0.49488499999999996</v>
      </c>
      <c r="P42" s="13">
        <f t="shared" si="3"/>
        <v>1.6529158999999998</v>
      </c>
      <c r="Q42" s="9">
        <f>HDD!B39</f>
        <v>626</v>
      </c>
      <c r="R42" s="9">
        <f>CDD!B39</f>
        <v>22</v>
      </c>
      <c r="T42" s="13">
        <f t="shared" si="10"/>
        <v>332.09802620233563</v>
      </c>
      <c r="U42" s="35">
        <f t="shared" si="4"/>
        <v>673.26900646435888</v>
      </c>
      <c r="V42" s="35"/>
      <c r="W42" s="35">
        <f t="shared" si="5"/>
        <v>1.1334505634285714</v>
      </c>
      <c r="X42" s="39">
        <f t="shared" si="6"/>
        <v>2.297867119062857</v>
      </c>
    </row>
    <row r="43" spans="1:24">
      <c r="B43" s="1"/>
      <c r="C43" s="9" t="s">
        <v>128</v>
      </c>
      <c r="D43" s="13">
        <f>SUM(D37:D42)</f>
        <v>12.080681139999999</v>
      </c>
      <c r="E43" s="13">
        <f>SUM(E37:E42)</f>
        <v>12.201487951400001</v>
      </c>
      <c r="N43" s="9" t="s">
        <v>128</v>
      </c>
      <c r="O43" s="13">
        <f>SUM(O37:O42)</f>
        <v>3.020505</v>
      </c>
      <c r="P43" s="13">
        <f>SUM(P37:P42)</f>
        <v>10.088486699999999</v>
      </c>
      <c r="W43" s="33">
        <f>D43+O43</f>
        <v>15.101186139999999</v>
      </c>
    </row>
    <row r="44" spans="1:24" s="9" customFormat="1">
      <c r="B44" s="1"/>
      <c r="C44" s="9" t="s">
        <v>129</v>
      </c>
      <c r="D44" s="13">
        <f>SUM(D31:D42)</f>
        <v>30.737871065714288</v>
      </c>
      <c r="E44" s="13">
        <f>SUM(E31:E42)</f>
        <v>31.045249776371428</v>
      </c>
      <c r="N44" s="9" t="s">
        <v>129</v>
      </c>
      <c r="O44" s="13">
        <f>SUM(O31:O42)</f>
        <v>6.3925489999999989</v>
      </c>
      <c r="P44" s="13">
        <f>SUM(P31:P42)</f>
        <v>21.351113659999996</v>
      </c>
      <c r="W44" s="33">
        <f>D44+O44</f>
        <v>37.13042006571429</v>
      </c>
    </row>
    <row r="45" spans="1:24" s="9" customFormat="1">
      <c r="A45" s="9" t="s">
        <v>126</v>
      </c>
      <c r="B45" s="1"/>
      <c r="C45" s="14"/>
      <c r="D45" s="14"/>
      <c r="E45" s="13"/>
    </row>
    <row r="46" spans="1:24" s="9" customFormat="1">
      <c r="A46" s="51"/>
      <c r="B46" s="52"/>
      <c r="C46" s="53">
        <f>MIN(C37:C42)</f>
        <v>6.7428571428571429</v>
      </c>
      <c r="D46" s="53">
        <f t="shared" ref="D46" si="16">C46*E$4</f>
        <v>0.61796667428571428</v>
      </c>
      <c r="E46" s="54">
        <f t="shared" ref="E46" si="17">D46*E$7</f>
        <v>0.62414634102857147</v>
      </c>
      <c r="F46" s="55"/>
      <c r="G46" s="55"/>
      <c r="H46" s="55"/>
      <c r="I46" s="55"/>
      <c r="J46" s="55"/>
      <c r="K46" s="55">
        <f>MIN(K37:K42)</f>
        <v>120</v>
      </c>
      <c r="L46" s="55"/>
      <c r="M46" s="55"/>
      <c r="N46" s="55"/>
      <c r="O46" s="54">
        <f>K46*E$3</f>
        <v>0.40955999999999998</v>
      </c>
      <c r="P46" s="54">
        <f>O46*$E$5</f>
        <v>1.3679303999999999</v>
      </c>
      <c r="Q46" s="55"/>
      <c r="R46" s="55"/>
      <c r="S46" s="55"/>
      <c r="T46" s="55"/>
      <c r="U46" s="55"/>
      <c r="V46" s="55"/>
      <c r="W46" s="54">
        <f>D46+O46</f>
        <v>1.0275266742857143</v>
      </c>
      <c r="X46" s="56">
        <f>E46+P46</f>
        <v>1.9920767410285714</v>
      </c>
    </row>
    <row r="47" spans="1:24" s="9" customFormat="1">
      <c r="A47" s="9" t="s">
        <v>73</v>
      </c>
      <c r="B47" s="1"/>
      <c r="C47" s="14"/>
      <c r="D47" s="14"/>
      <c r="E47" s="13"/>
    </row>
    <row r="48" spans="1:24" s="9" customFormat="1">
      <c r="A48" s="51"/>
      <c r="B48" s="52"/>
      <c r="C48" s="53">
        <f>SUM(C49:C50)/2</f>
        <v>6.8552380952380956</v>
      </c>
      <c r="D48" s="53">
        <f t="shared" ref="D48" si="18">C48*E$4</f>
        <v>0.6282661188571429</v>
      </c>
      <c r="E48" s="54">
        <f t="shared" ref="E48" si="19">D48*E$7</f>
        <v>0.63454878004571436</v>
      </c>
      <c r="F48" s="55"/>
      <c r="G48" s="54">
        <f t="shared" ref="G48" si="20">D48*E$1</f>
        <v>184.08031610229796</v>
      </c>
      <c r="H48" s="54">
        <f t="shared" ref="H48" si="21">E48*E$1</f>
        <v>185.92111926332095</v>
      </c>
      <c r="I48" s="55"/>
      <c r="J48" s="55"/>
      <c r="K48" s="55">
        <f>SUM(K49:K50)/2</f>
        <v>119.5</v>
      </c>
      <c r="L48" s="55"/>
      <c r="M48" s="55"/>
      <c r="N48" s="55"/>
      <c r="O48" s="54">
        <f>K48*E$3</f>
        <v>0.40785349999999998</v>
      </c>
      <c r="P48" s="54">
        <f>O48*$E$5</f>
        <v>1.3622306899999999</v>
      </c>
      <c r="Q48" s="55"/>
      <c r="R48" s="55"/>
      <c r="S48" s="55"/>
      <c r="T48" s="54"/>
      <c r="U48" s="54"/>
      <c r="V48" s="54"/>
      <c r="W48" s="54">
        <f>D48+O48</f>
        <v>1.0361196188571429</v>
      </c>
      <c r="X48" s="56">
        <f>E48+P48</f>
        <v>1.9967794700457142</v>
      </c>
    </row>
    <row r="49" spans="1:25" s="9" customFormat="1">
      <c r="B49" s="1"/>
      <c r="C49" s="14">
        <f>MIN(C31:C42)</f>
        <v>6.7428571428571429</v>
      </c>
      <c r="D49" s="14"/>
      <c r="E49" s="13"/>
      <c r="K49" s="9">
        <f>MIN(K31:K42)</f>
        <v>119</v>
      </c>
    </row>
    <row r="50" spans="1:25">
      <c r="B50" s="9"/>
      <c r="C50" s="24">
        <f>MIN(C41:C42,C31:C39)</f>
        <v>6.9676190476190483</v>
      </c>
      <c r="D50" s="25"/>
      <c r="K50" s="24">
        <f>MIN(K32:K42)</f>
        <v>120</v>
      </c>
      <c r="R50" s="26" t="s">
        <v>69</v>
      </c>
      <c r="S50" s="16"/>
      <c r="T50" s="16" t="s">
        <v>17</v>
      </c>
      <c r="U50" s="16" t="s">
        <v>20</v>
      </c>
      <c r="V50" s="16"/>
      <c r="W50" s="16" t="s">
        <v>18</v>
      </c>
      <c r="X50" s="16" t="s">
        <v>19</v>
      </c>
      <c r="Y50" s="17"/>
    </row>
    <row r="51" spans="1:25">
      <c r="C51" s="13"/>
      <c r="K51" s="13"/>
      <c r="R51" s="28" t="s">
        <v>65</v>
      </c>
      <c r="S51" s="19"/>
      <c r="T51" s="29">
        <f>SUM(T19:T42)</f>
        <v>23995.092295843631</v>
      </c>
      <c r="U51" s="29">
        <f>SUM(U19:U42)</f>
        <v>34987.993218802068</v>
      </c>
      <c r="V51" s="19"/>
      <c r="W51" s="29">
        <f>SUM(W19:W42)</f>
        <v>81.895250005714288</v>
      </c>
      <c r="X51" s="29">
        <f>SUM(X19:X42)</f>
        <v>119.4140208557714</v>
      </c>
      <c r="Y51" s="20"/>
    </row>
    <row r="52" spans="1:25">
      <c r="C52" s="13">
        <f>SUM(C37:C42)</f>
        <v>131.81666666666669</v>
      </c>
      <c r="K52" s="13">
        <f>SUM(K37:K42)</f>
        <v>885</v>
      </c>
      <c r="R52" s="28"/>
      <c r="S52" s="19"/>
      <c r="T52" s="19"/>
      <c r="U52" s="19"/>
      <c r="V52" s="19"/>
      <c r="W52" s="19"/>
      <c r="X52" s="19"/>
      <c r="Y52" s="20"/>
    </row>
    <row r="53" spans="1:25">
      <c r="C53" s="13">
        <f>SUM(C31:C42)</f>
        <v>335.39199134199134</v>
      </c>
      <c r="F53" s="13">
        <f>SUM(O31:O42)</f>
        <v>6.3925489999999989</v>
      </c>
      <c r="K53" s="13">
        <f>SUM(K31:K42)</f>
        <v>1873</v>
      </c>
      <c r="R53" s="28" t="s">
        <v>66</v>
      </c>
      <c r="S53" s="19"/>
      <c r="T53" s="29">
        <f>SUM(T25:T42)</f>
        <v>16504.109523251434</v>
      </c>
      <c r="U53" s="29">
        <f>SUM(U25:U42)</f>
        <v>24407.080618483949</v>
      </c>
      <c r="V53" s="19"/>
      <c r="W53" s="29">
        <f>SUM(W25:W42)</f>
        <v>56.32852580285715</v>
      </c>
      <c r="X53" s="29">
        <f>SUM(X25:X42)</f>
        <v>83.301366150885713</v>
      </c>
      <c r="Y53" s="20"/>
    </row>
    <row r="54" spans="1:25">
      <c r="R54" s="28"/>
      <c r="S54" s="19"/>
      <c r="T54" s="19"/>
      <c r="U54" s="19"/>
      <c r="V54" s="19"/>
      <c r="W54" s="19"/>
      <c r="X54" s="19"/>
      <c r="Y54" s="20"/>
    </row>
    <row r="55" spans="1:25">
      <c r="A55" s="9" t="s">
        <v>127</v>
      </c>
      <c r="D55" s="13"/>
      <c r="E55" s="13">
        <f>SUM(E31:E42)</f>
        <v>31.045249776371428</v>
      </c>
      <c r="O55" s="13"/>
      <c r="P55" s="13">
        <f t="shared" ref="P55" si="22">SUM(P31:P42)</f>
        <v>21.351113659999996</v>
      </c>
      <c r="R55" s="28" t="s">
        <v>67</v>
      </c>
      <c r="S55" s="19"/>
      <c r="T55" s="29">
        <f>SUM(T31:T42)</f>
        <v>10879.11516721778</v>
      </c>
      <c r="U55" s="29">
        <f>SUM(U31:U42)</f>
        <v>15351.99631888996</v>
      </c>
      <c r="V55" s="19"/>
      <c r="W55" s="29">
        <f>SUM(W31:W42)</f>
        <v>37.130420065714297</v>
      </c>
      <c r="X55" s="29">
        <f>SUM(X31:X42)</f>
        <v>52.396363436371431</v>
      </c>
      <c r="Y55" s="20"/>
    </row>
    <row r="56" spans="1:25">
      <c r="R56" s="28"/>
      <c r="S56" s="19"/>
      <c r="T56" s="19"/>
      <c r="U56" s="19"/>
      <c r="V56" s="19"/>
      <c r="W56" s="19"/>
      <c r="X56" s="19"/>
      <c r="Y56" s="20"/>
    </row>
    <row r="57" spans="1:25">
      <c r="R57" s="34" t="s">
        <v>68</v>
      </c>
      <c r="S57" s="22"/>
      <c r="T57" s="35">
        <f>SUM(T37:T42)</f>
        <v>4424.6077175505434</v>
      </c>
      <c r="U57" s="35">
        <f>SUM(U37:U42)</f>
        <v>6530.9037947260476</v>
      </c>
      <c r="V57" s="22"/>
      <c r="W57" s="35">
        <f>SUM(W37:W42)</f>
        <v>15.101186139999999</v>
      </c>
      <c r="X57" s="35">
        <f>SUM(X37:X42)</f>
        <v>22.289974651400001</v>
      </c>
      <c r="Y57" s="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3"/>
  <sheetViews>
    <sheetView topLeftCell="A13" workbookViewId="0">
      <selection activeCell="B32" sqref="B32"/>
    </sheetView>
  </sheetViews>
  <sheetFormatPr defaultRowHeight="15"/>
  <cols>
    <col min="1" max="1" width="13.140625" bestFit="1" customWidth="1"/>
  </cols>
  <sheetData>
    <row r="1" spans="1:3">
      <c r="A1" s="9" t="s">
        <v>6</v>
      </c>
      <c r="B1" s="9" t="s">
        <v>7</v>
      </c>
      <c r="C1" s="9"/>
    </row>
    <row r="2" spans="1:3">
      <c r="A2" s="9" t="s">
        <v>8</v>
      </c>
      <c r="B2" s="9" t="s">
        <v>9</v>
      </c>
      <c r="C2" s="9"/>
    </row>
    <row r="3" spans="1:3">
      <c r="A3" s="9" t="s">
        <v>10</v>
      </c>
      <c r="B3" s="9" t="s">
        <v>11</v>
      </c>
      <c r="C3" s="9"/>
    </row>
    <row r="4" spans="1:3">
      <c r="A4" s="9" t="s">
        <v>12</v>
      </c>
      <c r="B4" s="9" t="s">
        <v>36</v>
      </c>
      <c r="C4" s="9"/>
    </row>
    <row r="5" spans="1:3">
      <c r="A5" s="9" t="s">
        <v>13</v>
      </c>
      <c r="B5" s="9" t="s">
        <v>37</v>
      </c>
      <c r="C5" s="9"/>
    </row>
    <row r="6" spans="1:3">
      <c r="A6" s="9"/>
      <c r="B6" s="9"/>
      <c r="C6" s="9"/>
    </row>
    <row r="7" spans="1:3">
      <c r="A7" s="9" t="s">
        <v>14</v>
      </c>
      <c r="B7" s="9" t="s">
        <v>0</v>
      </c>
      <c r="C7" s="9" t="s">
        <v>15</v>
      </c>
    </row>
    <row r="8" spans="1:3" s="8" customFormat="1">
      <c r="A8" s="10">
        <v>40026</v>
      </c>
      <c r="B8" s="9">
        <v>40</v>
      </c>
      <c r="C8" s="9">
        <v>0</v>
      </c>
    </row>
    <row r="9" spans="1:3" s="5" customFormat="1">
      <c r="A9" s="10">
        <v>40057</v>
      </c>
      <c r="B9" s="9">
        <v>200</v>
      </c>
      <c r="C9" s="9">
        <v>0.9</v>
      </c>
    </row>
    <row r="10" spans="1:3">
      <c r="A10" s="10">
        <v>40087</v>
      </c>
      <c r="B10" s="9">
        <v>524</v>
      </c>
      <c r="C10" s="9">
        <v>0.03</v>
      </c>
    </row>
    <row r="11" spans="1:3">
      <c r="A11" s="10">
        <v>40118</v>
      </c>
      <c r="B11" s="9">
        <v>596</v>
      </c>
      <c r="C11" s="9">
        <v>0.1</v>
      </c>
    </row>
    <row r="12" spans="1:3">
      <c r="A12" s="10">
        <v>40148</v>
      </c>
      <c r="B12" s="9">
        <v>1125</v>
      </c>
      <c r="C12" s="9">
        <v>0.03</v>
      </c>
    </row>
    <row r="13" spans="1:3">
      <c r="A13" s="10">
        <v>40179</v>
      </c>
      <c r="B13" s="9">
        <v>1199</v>
      </c>
      <c r="C13" s="9">
        <v>0</v>
      </c>
    </row>
    <row r="14" spans="1:3">
      <c r="A14" s="10">
        <v>40210</v>
      </c>
      <c r="B14" s="9">
        <v>997</v>
      </c>
      <c r="C14" s="9">
        <v>0</v>
      </c>
    </row>
    <row r="15" spans="1:3">
      <c r="A15" s="10">
        <v>40238</v>
      </c>
      <c r="B15" s="9">
        <v>698</v>
      </c>
      <c r="C15" s="9">
        <v>0.03</v>
      </c>
    </row>
    <row r="16" spans="1:3">
      <c r="A16" s="10">
        <v>40269</v>
      </c>
      <c r="B16" s="9">
        <v>404</v>
      </c>
      <c r="C16" s="9">
        <v>0</v>
      </c>
    </row>
    <row r="17" spans="1:3">
      <c r="A17" s="10">
        <v>40299</v>
      </c>
      <c r="B17" s="9">
        <v>216</v>
      </c>
      <c r="C17" s="9">
        <v>0.2</v>
      </c>
    </row>
    <row r="18" spans="1:3">
      <c r="A18" s="10">
        <v>40330</v>
      </c>
      <c r="B18" s="9">
        <v>63</v>
      </c>
      <c r="C18" s="9">
        <v>0</v>
      </c>
    </row>
    <row r="19" spans="1:3">
      <c r="A19" s="10">
        <v>40360</v>
      </c>
      <c r="B19" s="9">
        <v>20</v>
      </c>
      <c r="C19" s="9">
        <v>0.06</v>
      </c>
    </row>
    <row r="20" spans="1:3">
      <c r="A20" s="10">
        <v>40391</v>
      </c>
      <c r="B20" s="9">
        <v>33</v>
      </c>
      <c r="C20" s="9">
        <v>0.2</v>
      </c>
    </row>
    <row r="21" spans="1:3">
      <c r="A21" s="10">
        <v>40422</v>
      </c>
      <c r="B21" s="9">
        <v>98</v>
      </c>
      <c r="C21" s="9">
        <v>0</v>
      </c>
    </row>
    <row r="22" spans="1:3">
      <c r="A22" s="10">
        <v>40452</v>
      </c>
      <c r="B22" s="9">
        <v>407</v>
      </c>
      <c r="C22" s="9">
        <v>0.2</v>
      </c>
    </row>
    <row r="23" spans="1:3">
      <c r="A23" s="10">
        <v>40483</v>
      </c>
      <c r="B23" s="9">
        <v>708</v>
      </c>
      <c r="C23" s="9">
        <v>0.03</v>
      </c>
    </row>
    <row r="24" spans="1:3">
      <c r="A24" s="10">
        <v>40513</v>
      </c>
      <c r="B24" s="9">
        <v>1130</v>
      </c>
      <c r="C24" s="9">
        <v>0.2</v>
      </c>
    </row>
    <row r="25" spans="1:3">
      <c r="A25" s="10">
        <v>40544</v>
      </c>
      <c r="B25" s="9">
        <v>1309</v>
      </c>
      <c r="C25" s="9">
        <v>0.6</v>
      </c>
    </row>
    <row r="26" spans="1:3">
      <c r="A26" s="10">
        <v>40575</v>
      </c>
      <c r="B26" s="9">
        <v>1080</v>
      </c>
      <c r="C26" s="9">
        <v>0</v>
      </c>
    </row>
    <row r="27" spans="1:3">
      <c r="A27" s="10">
        <v>40603</v>
      </c>
      <c r="B27" s="9">
        <v>883</v>
      </c>
      <c r="C27" s="9">
        <v>0</v>
      </c>
    </row>
    <row r="28" spans="1:3">
      <c r="A28" s="10">
        <v>40634</v>
      </c>
      <c r="B28" s="9">
        <v>471</v>
      </c>
      <c r="C28" s="9">
        <v>0.03</v>
      </c>
    </row>
    <row r="29" spans="1:3">
      <c r="A29" s="10">
        <v>40664</v>
      </c>
      <c r="B29" s="9">
        <v>189</v>
      </c>
      <c r="C29" s="9">
        <v>0.03</v>
      </c>
    </row>
    <row r="30" spans="1:3">
      <c r="A30" s="10">
        <v>40695</v>
      </c>
      <c r="B30" s="9">
        <v>69</v>
      </c>
      <c r="C30" s="9">
        <v>0</v>
      </c>
    </row>
    <row r="31" spans="1:3">
      <c r="A31" s="10">
        <v>40725</v>
      </c>
      <c r="B31" s="9">
        <v>16</v>
      </c>
      <c r="C31" s="9">
        <v>0</v>
      </c>
    </row>
    <row r="32" spans="1:3">
      <c r="A32" s="10">
        <v>40756</v>
      </c>
      <c r="B32" s="9">
        <v>34</v>
      </c>
      <c r="C32" s="9">
        <v>0</v>
      </c>
    </row>
    <row r="33" spans="1:3">
      <c r="A33" s="10">
        <v>40787</v>
      </c>
      <c r="B33" s="9">
        <v>87</v>
      </c>
      <c r="C33" s="9">
        <v>0.03</v>
      </c>
    </row>
    <row r="34" spans="1:3">
      <c r="A34" s="10">
        <v>40817</v>
      </c>
      <c r="B34" s="9">
        <v>429</v>
      </c>
      <c r="C34" s="9">
        <v>7</v>
      </c>
    </row>
    <row r="35" spans="1:3">
      <c r="A35" s="10">
        <v>40848</v>
      </c>
      <c r="B35" s="9">
        <v>610</v>
      </c>
      <c r="C35" s="9">
        <v>3</v>
      </c>
    </row>
    <row r="36" spans="1:3">
      <c r="A36" s="10">
        <v>40878</v>
      </c>
      <c r="B36" s="9">
        <v>906</v>
      </c>
      <c r="C36" s="9">
        <v>0.03</v>
      </c>
    </row>
    <row r="37" spans="1:3">
      <c r="A37" s="10">
        <v>40909</v>
      </c>
      <c r="B37" s="9">
        <v>1071</v>
      </c>
      <c r="C37" s="9">
        <v>0</v>
      </c>
    </row>
    <row r="38" spans="1:3">
      <c r="A38" s="10">
        <v>40940</v>
      </c>
      <c r="B38" s="9">
        <v>890</v>
      </c>
      <c r="C38" s="9">
        <v>0.03</v>
      </c>
    </row>
    <row r="39" spans="1:3">
      <c r="A39" s="10">
        <v>40969</v>
      </c>
      <c r="B39" s="9">
        <v>626</v>
      </c>
      <c r="C39" s="9">
        <v>2</v>
      </c>
    </row>
    <row r="40" spans="1:3">
      <c r="A40" s="10">
        <v>41000</v>
      </c>
      <c r="B40" s="9">
        <v>441</v>
      </c>
      <c r="C40" s="9">
        <v>2</v>
      </c>
    </row>
    <row r="41" spans="1:3">
      <c r="A41" s="10">
        <v>41030</v>
      </c>
      <c r="B41" s="9">
        <v>160</v>
      </c>
      <c r="C41" s="9">
        <v>0.06</v>
      </c>
    </row>
    <row r="42" spans="1:3">
      <c r="A42" s="10">
        <v>41061</v>
      </c>
      <c r="B42" s="9">
        <v>87</v>
      </c>
      <c r="C42" s="9">
        <v>0.03</v>
      </c>
    </row>
    <row r="43" spans="1:3">
      <c r="A43" s="10">
        <v>41091</v>
      </c>
      <c r="B43" s="9">
        <v>15</v>
      </c>
      <c r="C43" s="9">
        <v>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3"/>
  <sheetViews>
    <sheetView topLeftCell="A13" workbookViewId="0">
      <selection activeCell="F40" sqref="F40"/>
    </sheetView>
  </sheetViews>
  <sheetFormatPr defaultRowHeight="15"/>
  <cols>
    <col min="1" max="1" width="13.140625" bestFit="1" customWidth="1"/>
  </cols>
  <sheetData>
    <row r="1" spans="1:3">
      <c r="A1" s="9" t="s">
        <v>6</v>
      </c>
      <c r="B1" s="9" t="s">
        <v>16</v>
      </c>
      <c r="C1" s="9"/>
    </row>
    <row r="2" spans="1:3">
      <c r="A2" s="9" t="s">
        <v>8</v>
      </c>
      <c r="B2" s="9" t="s">
        <v>9</v>
      </c>
      <c r="C2" s="9"/>
    </row>
    <row r="3" spans="1:3">
      <c r="A3" s="9" t="s">
        <v>10</v>
      </c>
      <c r="B3" s="9" t="s">
        <v>11</v>
      </c>
      <c r="C3" s="9"/>
    </row>
    <row r="4" spans="1:3">
      <c r="A4" s="9" t="s">
        <v>12</v>
      </c>
      <c r="B4" s="9" t="s">
        <v>36</v>
      </c>
      <c r="C4" s="9"/>
    </row>
    <row r="5" spans="1:3">
      <c r="A5" s="9" t="s">
        <v>13</v>
      </c>
      <c r="B5" s="9" t="s">
        <v>37</v>
      </c>
      <c r="C5" s="9"/>
    </row>
    <row r="6" spans="1:3">
      <c r="A6" s="9"/>
      <c r="B6" s="9"/>
      <c r="C6" s="9"/>
    </row>
    <row r="7" spans="1:3">
      <c r="A7" s="9" t="s">
        <v>14</v>
      </c>
      <c r="B7" s="9" t="s">
        <v>5</v>
      </c>
      <c r="C7" s="9" t="s">
        <v>15</v>
      </c>
    </row>
    <row r="8" spans="1:3" s="7" customFormat="1">
      <c r="A8" s="10">
        <v>40026</v>
      </c>
      <c r="B8" s="9">
        <v>236</v>
      </c>
      <c r="C8" s="9">
        <v>0</v>
      </c>
    </row>
    <row r="9" spans="1:3" s="6" customFormat="1">
      <c r="A9" s="10">
        <v>40057</v>
      </c>
      <c r="B9" s="9">
        <v>63</v>
      </c>
      <c r="C9" s="9">
        <v>0.9</v>
      </c>
    </row>
    <row r="10" spans="1:3">
      <c r="A10" s="10">
        <v>40087</v>
      </c>
      <c r="B10" s="9">
        <v>2</v>
      </c>
      <c r="C10" s="9">
        <v>0.03</v>
      </c>
    </row>
    <row r="11" spans="1:3">
      <c r="A11" s="10">
        <v>40118</v>
      </c>
      <c r="B11" s="9">
        <v>1</v>
      </c>
      <c r="C11" s="9">
        <v>0.1</v>
      </c>
    </row>
    <row r="12" spans="1:3">
      <c r="A12" s="10">
        <v>40148</v>
      </c>
      <c r="B12" s="9">
        <v>0</v>
      </c>
      <c r="C12" s="9">
        <v>0.03</v>
      </c>
    </row>
    <row r="13" spans="1:3">
      <c r="A13" s="10">
        <v>40179</v>
      </c>
      <c r="B13" s="9">
        <v>0</v>
      </c>
      <c r="C13" s="9">
        <v>0</v>
      </c>
    </row>
    <row r="14" spans="1:3">
      <c r="A14" s="10">
        <v>40210</v>
      </c>
      <c r="B14" s="9">
        <v>0</v>
      </c>
      <c r="C14" s="9">
        <v>0</v>
      </c>
    </row>
    <row r="15" spans="1:3">
      <c r="A15" s="10">
        <v>40238</v>
      </c>
      <c r="B15" s="9">
        <v>3</v>
      </c>
      <c r="C15" s="9">
        <v>0.03</v>
      </c>
    </row>
    <row r="16" spans="1:3">
      <c r="A16" s="10">
        <v>40269</v>
      </c>
      <c r="B16" s="9">
        <v>29</v>
      </c>
      <c r="C16" s="9">
        <v>0</v>
      </c>
    </row>
    <row r="17" spans="1:3">
      <c r="A17" s="10">
        <v>40299</v>
      </c>
      <c r="B17" s="9">
        <v>121</v>
      </c>
      <c r="C17" s="9">
        <v>0.2</v>
      </c>
    </row>
    <row r="18" spans="1:3">
      <c r="A18" s="10">
        <v>40330</v>
      </c>
      <c r="B18" s="9">
        <v>180</v>
      </c>
      <c r="C18" s="9">
        <v>0</v>
      </c>
    </row>
    <row r="19" spans="1:3">
      <c r="A19" s="10">
        <v>40360</v>
      </c>
      <c r="B19" s="9">
        <v>369</v>
      </c>
      <c r="C19" s="9">
        <v>0.06</v>
      </c>
    </row>
    <row r="20" spans="1:3">
      <c r="A20" s="10">
        <v>40391</v>
      </c>
      <c r="B20" s="9">
        <v>257</v>
      </c>
      <c r="C20" s="9">
        <v>0.2</v>
      </c>
    </row>
    <row r="21" spans="1:3">
      <c r="A21" s="10">
        <v>40422</v>
      </c>
      <c r="B21" s="9">
        <v>146</v>
      </c>
      <c r="C21" s="9">
        <v>0</v>
      </c>
    </row>
    <row r="22" spans="1:3">
      <c r="A22" s="10">
        <v>40452</v>
      </c>
      <c r="B22" s="9">
        <v>16</v>
      </c>
      <c r="C22" s="9">
        <v>0.2</v>
      </c>
    </row>
    <row r="23" spans="1:3">
      <c r="A23" s="10">
        <v>40483</v>
      </c>
      <c r="B23" s="9">
        <v>0</v>
      </c>
      <c r="C23" s="9">
        <v>0.03</v>
      </c>
    </row>
    <row r="24" spans="1:3">
      <c r="A24" s="10">
        <v>40513</v>
      </c>
      <c r="B24" s="9">
        <v>0</v>
      </c>
      <c r="C24" s="9">
        <v>0.2</v>
      </c>
    </row>
    <row r="25" spans="1:3">
      <c r="A25" s="10">
        <v>40544</v>
      </c>
      <c r="B25" s="9">
        <v>0</v>
      </c>
      <c r="C25" s="9">
        <v>0.6</v>
      </c>
    </row>
    <row r="26" spans="1:3">
      <c r="A26" s="10">
        <v>40575</v>
      </c>
      <c r="B26" s="9">
        <v>0</v>
      </c>
      <c r="C26" s="9">
        <v>0</v>
      </c>
    </row>
    <row r="27" spans="1:3">
      <c r="A27" s="10">
        <v>40603</v>
      </c>
      <c r="B27" s="9">
        <v>0</v>
      </c>
      <c r="C27" s="9">
        <v>0</v>
      </c>
    </row>
    <row r="28" spans="1:3">
      <c r="A28" s="10">
        <v>40634</v>
      </c>
      <c r="B28" s="9">
        <v>13</v>
      </c>
      <c r="C28" s="9">
        <v>0.03</v>
      </c>
    </row>
    <row r="29" spans="1:3">
      <c r="A29" s="10">
        <v>40664</v>
      </c>
      <c r="B29" s="9">
        <v>86</v>
      </c>
      <c r="C29" s="9">
        <v>0.03</v>
      </c>
    </row>
    <row r="30" spans="1:3">
      <c r="A30" s="10">
        <v>40695</v>
      </c>
      <c r="B30" s="9">
        <v>157</v>
      </c>
      <c r="C30" s="9">
        <v>0</v>
      </c>
    </row>
    <row r="31" spans="1:3">
      <c r="A31" s="10">
        <v>40725</v>
      </c>
      <c r="B31" s="9">
        <v>329</v>
      </c>
      <c r="C31" s="9">
        <v>0</v>
      </c>
    </row>
    <row r="32" spans="1:3">
      <c r="A32" s="10">
        <v>40756</v>
      </c>
      <c r="B32" s="9">
        <v>215</v>
      </c>
      <c r="C32" s="9">
        <v>0</v>
      </c>
    </row>
    <row r="33" spans="1:3">
      <c r="A33" s="10">
        <v>40787</v>
      </c>
      <c r="B33" s="9">
        <v>115</v>
      </c>
      <c r="C33" s="9">
        <v>0.03</v>
      </c>
    </row>
    <row r="34" spans="1:3">
      <c r="A34" s="10">
        <v>40817</v>
      </c>
      <c r="B34" s="9">
        <v>17</v>
      </c>
      <c r="C34" s="9">
        <v>7</v>
      </c>
    </row>
    <row r="35" spans="1:3">
      <c r="A35" s="10">
        <v>40848</v>
      </c>
      <c r="B35" s="9">
        <v>1</v>
      </c>
      <c r="C35" s="9">
        <v>3</v>
      </c>
    </row>
    <row r="36" spans="1:3">
      <c r="A36" s="10">
        <v>40878</v>
      </c>
      <c r="B36" s="9">
        <v>0</v>
      </c>
      <c r="C36" s="9">
        <v>0.03</v>
      </c>
    </row>
    <row r="37" spans="1:3">
      <c r="A37" s="10">
        <v>40909</v>
      </c>
      <c r="B37" s="9">
        <v>0</v>
      </c>
      <c r="C37" s="9">
        <v>0</v>
      </c>
    </row>
    <row r="38" spans="1:3">
      <c r="A38" s="10">
        <v>40940</v>
      </c>
      <c r="B38" s="9">
        <v>0</v>
      </c>
      <c r="C38" s="9">
        <v>0.03</v>
      </c>
    </row>
    <row r="39" spans="1:3">
      <c r="A39" s="10">
        <v>40969</v>
      </c>
      <c r="B39" s="9">
        <v>22</v>
      </c>
      <c r="C39" s="9">
        <v>2</v>
      </c>
    </row>
    <row r="40" spans="1:3">
      <c r="A40" s="10">
        <v>41000</v>
      </c>
      <c r="B40" s="9">
        <v>27</v>
      </c>
      <c r="C40" s="9">
        <v>2</v>
      </c>
    </row>
    <row r="41" spans="1:3">
      <c r="A41" s="10">
        <v>41030</v>
      </c>
      <c r="B41" s="9">
        <v>104</v>
      </c>
      <c r="C41" s="9">
        <v>0.06</v>
      </c>
    </row>
    <row r="42" spans="1:3">
      <c r="A42" s="10">
        <v>41061</v>
      </c>
      <c r="B42" s="9">
        <v>162</v>
      </c>
      <c r="C42" s="9">
        <v>0.03</v>
      </c>
    </row>
    <row r="43" spans="1:3">
      <c r="A43" s="10">
        <v>41091</v>
      </c>
      <c r="B43" s="9">
        <v>333</v>
      </c>
      <c r="C43" s="9">
        <v>0.2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31"/>
  <sheetViews>
    <sheetView topLeftCell="A2" workbookViewId="0">
      <selection activeCell="Q21" sqref="Q21"/>
    </sheetView>
  </sheetViews>
  <sheetFormatPr defaultRowHeight="15"/>
  <cols>
    <col min="4" max="5" width="9.140625" style="9"/>
    <col min="13" max="14" width="9.140625" style="9"/>
  </cols>
  <sheetData>
    <row r="1" spans="1:23">
      <c r="A1" s="9" t="s">
        <v>74</v>
      </c>
      <c r="B1" s="9"/>
      <c r="C1" s="9"/>
      <c r="F1" s="9"/>
      <c r="G1" s="9"/>
      <c r="H1" s="9"/>
      <c r="I1" s="9"/>
      <c r="J1" s="9"/>
      <c r="K1" s="9"/>
      <c r="L1" s="9"/>
      <c r="O1" s="9"/>
      <c r="P1" s="9"/>
    </row>
    <row r="2" spans="1:23">
      <c r="A2" s="9"/>
      <c r="B2" s="9"/>
      <c r="C2" s="9"/>
      <c r="F2" s="9"/>
      <c r="G2" s="9"/>
      <c r="H2" s="9"/>
      <c r="I2" s="9"/>
      <c r="J2" s="9"/>
      <c r="K2" s="9"/>
      <c r="L2" s="9"/>
      <c r="O2" s="9"/>
      <c r="P2" s="9"/>
    </row>
    <row r="3" spans="1:23">
      <c r="A3" s="9"/>
      <c r="B3" s="9"/>
      <c r="C3" s="9"/>
      <c r="F3" s="9"/>
      <c r="G3" s="9"/>
      <c r="H3" s="9"/>
      <c r="I3" s="9"/>
      <c r="J3" s="9"/>
      <c r="K3" s="9"/>
      <c r="L3" s="9"/>
      <c r="O3" s="9"/>
      <c r="P3" s="9"/>
    </row>
    <row r="4" spans="1:23">
      <c r="A4" s="9"/>
      <c r="B4" s="9"/>
      <c r="C4" s="9" t="s">
        <v>95</v>
      </c>
      <c r="F4" s="9" t="str">
        <f>HDD!B4</f>
        <v>WESTFIELD BARNES MUNICIPAL, MA, US (72.72W,42.16N)</v>
      </c>
      <c r="G4" s="9"/>
      <c r="H4" s="9"/>
      <c r="I4" s="9"/>
      <c r="J4" s="84" t="s">
        <v>79</v>
      </c>
      <c r="K4" s="84"/>
      <c r="L4" s="84"/>
      <c r="M4" s="70"/>
      <c r="N4" s="70"/>
      <c r="O4" s="58"/>
      <c r="P4" s="9"/>
    </row>
    <row r="5" spans="1:23" ht="51.75">
      <c r="A5" s="9" t="s">
        <v>75</v>
      </c>
      <c r="B5" s="9" t="s">
        <v>76</v>
      </c>
      <c r="C5" s="9"/>
      <c r="F5" s="9" t="s">
        <v>77</v>
      </c>
      <c r="G5" s="9" t="s">
        <v>78</v>
      </c>
      <c r="H5" s="9"/>
      <c r="I5" s="9"/>
      <c r="J5" s="59" t="s">
        <v>80</v>
      </c>
      <c r="K5" s="59" t="s">
        <v>81</v>
      </c>
      <c r="L5" s="59" t="s">
        <v>82</v>
      </c>
      <c r="M5" s="59" t="s">
        <v>96</v>
      </c>
      <c r="N5" s="59" t="s">
        <v>121</v>
      </c>
      <c r="O5" s="60" t="s">
        <v>124</v>
      </c>
      <c r="P5" s="73"/>
      <c r="Q5" s="73" t="s">
        <v>122</v>
      </c>
    </row>
    <row r="6" spans="1:23">
      <c r="A6" s="9"/>
      <c r="B6" s="9"/>
      <c r="C6" s="9"/>
      <c r="D6" s="9" t="s">
        <v>96</v>
      </c>
      <c r="E6" s="9" t="s">
        <v>97</v>
      </c>
      <c r="F6" s="9"/>
      <c r="G6" s="9"/>
      <c r="H6" s="9"/>
      <c r="I6" s="9"/>
      <c r="J6" s="58"/>
      <c r="K6" s="58"/>
      <c r="L6" s="58"/>
      <c r="M6" s="58"/>
      <c r="N6" s="58"/>
      <c r="O6" s="58"/>
      <c r="P6" s="9"/>
    </row>
    <row r="7" spans="1:23">
      <c r="A7" s="9"/>
      <c r="B7" s="9"/>
      <c r="C7" s="9"/>
      <c r="F7" s="9"/>
      <c r="G7" s="9"/>
      <c r="H7" s="9"/>
      <c r="I7" s="9"/>
      <c r="J7" s="61"/>
      <c r="K7" s="62"/>
      <c r="L7" s="62"/>
      <c r="M7" s="62"/>
      <c r="N7" s="62"/>
      <c r="O7" s="62"/>
      <c r="P7" s="9"/>
      <c r="U7" s="9"/>
      <c r="V7" s="9"/>
      <c r="W7" s="9"/>
    </row>
    <row r="8" spans="1:23">
      <c r="A8" s="57">
        <f>'Energy Use'!B30</f>
        <v>40735</v>
      </c>
      <c r="B8" s="9"/>
      <c r="C8" s="13"/>
      <c r="D8" s="13"/>
      <c r="E8" s="13"/>
      <c r="F8" s="9">
        <f>CDD!B19</f>
        <v>369</v>
      </c>
      <c r="G8" s="9">
        <f>HDD!B19</f>
        <v>20</v>
      </c>
      <c r="H8" s="13"/>
      <c r="I8" s="9"/>
      <c r="J8" s="63"/>
      <c r="K8" s="64">
        <v>95</v>
      </c>
      <c r="L8" s="64">
        <v>11</v>
      </c>
      <c r="M8" s="65"/>
      <c r="N8" s="65"/>
      <c r="O8" s="65"/>
      <c r="P8" s="9"/>
      <c r="S8" s="9"/>
      <c r="T8" s="9"/>
      <c r="U8" s="9"/>
      <c r="V8" s="9"/>
      <c r="W8" s="9"/>
    </row>
    <row r="9" spans="1:23">
      <c r="A9" s="57">
        <f>'Energy Use'!B31</f>
        <v>40766</v>
      </c>
      <c r="B9" s="9"/>
      <c r="C9" s="13"/>
      <c r="D9" s="13">
        <f>'Energy Use'!O31</f>
        <v>0.40614699999999998</v>
      </c>
      <c r="E9" s="13">
        <f>'Energy Use'!D31</f>
        <v>0.81646415571929831</v>
      </c>
      <c r="F9" s="9">
        <f>CDD!B20</f>
        <v>257</v>
      </c>
      <c r="G9" s="9">
        <f>HDD!B20</f>
        <v>33</v>
      </c>
      <c r="H9" s="13"/>
      <c r="I9" s="9"/>
      <c r="J9" s="66"/>
      <c r="K9" s="65">
        <v>207</v>
      </c>
      <c r="L9" s="65">
        <v>8</v>
      </c>
      <c r="M9" s="77">
        <f>D9</f>
        <v>0.40614699999999998</v>
      </c>
      <c r="N9" s="77">
        <f>0.0042*L9+0.3078</f>
        <v>0.34140000000000004</v>
      </c>
      <c r="O9" s="77">
        <f>M9+N9</f>
        <v>0.74754699999999996</v>
      </c>
      <c r="P9" s="67"/>
      <c r="Q9" s="13">
        <f>M9*'Energy Use'!$E$5+N9*'Energy Use'!$E$7</f>
        <v>1.70134498</v>
      </c>
      <c r="S9" s="13"/>
      <c r="T9" s="13"/>
      <c r="U9" s="13"/>
      <c r="V9" s="13"/>
      <c r="W9" s="13"/>
    </row>
    <row r="10" spans="1:23">
      <c r="A10" s="57">
        <f>'Energy Use'!B32</f>
        <v>40797</v>
      </c>
      <c r="B10" s="9"/>
      <c r="C10" s="13"/>
      <c r="D10" s="13">
        <f>'Energy Use'!O32</f>
        <v>0.43686399999999997</v>
      </c>
      <c r="E10" s="13">
        <f>'Energy Use'!D32</f>
        <v>0.95938903860526314</v>
      </c>
      <c r="F10" s="9">
        <f>CDD!B21</f>
        <v>146</v>
      </c>
      <c r="G10" s="9">
        <f>HDD!B21</f>
        <v>98</v>
      </c>
      <c r="H10" s="13"/>
      <c r="I10" s="9"/>
      <c r="J10" s="66"/>
      <c r="K10" s="65">
        <v>72</v>
      </c>
      <c r="L10" s="65">
        <v>77</v>
      </c>
      <c r="M10" s="77">
        <f t="shared" ref="M10:M20" si="0">D10</f>
        <v>0.43686399999999997</v>
      </c>
      <c r="N10" s="77">
        <f t="shared" ref="N10:N20" si="1">0.0042*L10+0.3078</f>
        <v>0.63119999999999998</v>
      </c>
      <c r="O10" s="77">
        <f t="shared" ref="O10:O20" si="2">M10+N10</f>
        <v>1.0680639999999999</v>
      </c>
      <c r="P10" s="67"/>
      <c r="Q10" s="13">
        <f>M10*'Energy Use'!$E$5+N10*'Energy Use'!$E$7</f>
        <v>2.0966377599999997</v>
      </c>
      <c r="S10" s="13"/>
      <c r="T10" s="13"/>
      <c r="U10" s="13"/>
      <c r="V10" s="13"/>
      <c r="W10" s="13"/>
    </row>
    <row r="11" spans="1:23">
      <c r="A11" s="57">
        <f>'Energy Use'!B33</f>
        <v>40827</v>
      </c>
      <c r="B11" s="9"/>
      <c r="C11" s="13"/>
      <c r="D11" s="13">
        <f>'Energy Use'!O33</f>
        <v>0.50853700000000002</v>
      </c>
      <c r="E11" s="13">
        <f>'Energy Use'!D33</f>
        <v>2.1585353976052635</v>
      </c>
      <c r="F11" s="9">
        <f>CDD!B22</f>
        <v>16</v>
      </c>
      <c r="G11" s="9">
        <f>HDD!B22</f>
        <v>407</v>
      </c>
      <c r="H11" s="13"/>
      <c r="I11" s="9"/>
      <c r="J11" s="68"/>
      <c r="K11" s="62">
        <v>6</v>
      </c>
      <c r="L11" s="62">
        <v>422</v>
      </c>
      <c r="M11" s="77">
        <f t="shared" si="0"/>
        <v>0.50853700000000002</v>
      </c>
      <c r="N11" s="77">
        <f t="shared" si="1"/>
        <v>2.0802</v>
      </c>
      <c r="O11" s="77">
        <f t="shared" si="2"/>
        <v>2.5887370000000001</v>
      </c>
      <c r="P11" s="67"/>
      <c r="Q11" s="13">
        <f>M11*'Energy Use'!$E$5+N11*'Energy Use'!$E$7</f>
        <v>3.7995155800000004</v>
      </c>
      <c r="S11" s="13"/>
      <c r="T11" s="13"/>
      <c r="U11" s="13"/>
      <c r="V11" s="13"/>
      <c r="W11" s="13"/>
    </row>
    <row r="12" spans="1:23">
      <c r="A12" s="57">
        <f>'Energy Use'!B34</f>
        <v>40858</v>
      </c>
      <c r="B12" s="9"/>
      <c r="C12" s="13"/>
      <c r="D12" s="13">
        <f>'Energy Use'!O34</f>
        <v>0.583623</v>
      </c>
      <c r="E12" s="13">
        <f>'Energy Use'!D34</f>
        <v>3.3896404141926242</v>
      </c>
      <c r="F12" s="9">
        <f>CDD!B23</f>
        <v>0</v>
      </c>
      <c r="G12" s="9">
        <f>HDD!B23</f>
        <v>708</v>
      </c>
      <c r="H12" s="13"/>
      <c r="I12" s="9"/>
      <c r="J12" s="68"/>
      <c r="K12" s="62">
        <v>0</v>
      </c>
      <c r="L12" s="62">
        <v>757</v>
      </c>
      <c r="M12" s="77">
        <f t="shared" si="0"/>
        <v>0.583623</v>
      </c>
      <c r="N12" s="77">
        <f t="shared" si="1"/>
        <v>3.4871999999999996</v>
      </c>
      <c r="O12" s="77">
        <f t="shared" si="2"/>
        <v>4.0708229999999999</v>
      </c>
      <c r="P12" s="67"/>
      <c r="Q12" s="13">
        <f>M12*'Energy Use'!$E$5+N12*'Energy Use'!$E$7</f>
        <v>5.4713728199999991</v>
      </c>
      <c r="S12" s="13"/>
      <c r="T12" s="13"/>
      <c r="U12" s="13"/>
      <c r="V12" s="13"/>
      <c r="W12" s="13"/>
    </row>
    <row r="13" spans="1:23">
      <c r="A13" s="57">
        <f>'Energy Use'!B35</f>
        <v>40888</v>
      </c>
      <c r="B13" s="9"/>
      <c r="C13" s="13"/>
      <c r="D13" s="13">
        <f>'Energy Use'!O35</f>
        <v>0.56655800000000001</v>
      </c>
      <c r="E13" s="13">
        <f>'Energy Use'!D35</f>
        <v>5.148724760816326</v>
      </c>
      <c r="F13" s="9">
        <f>CDD!B24</f>
        <v>0</v>
      </c>
      <c r="G13" s="9">
        <f>HDD!B24</f>
        <v>1130</v>
      </c>
      <c r="H13" s="13"/>
      <c r="I13" s="9"/>
      <c r="J13" s="68"/>
      <c r="K13" s="62">
        <v>0</v>
      </c>
      <c r="L13" s="62">
        <v>1005</v>
      </c>
      <c r="M13" s="77">
        <f t="shared" si="0"/>
        <v>0.56655800000000001</v>
      </c>
      <c r="N13" s="77">
        <f t="shared" si="1"/>
        <v>4.5288000000000004</v>
      </c>
      <c r="O13" s="77">
        <f t="shared" si="2"/>
        <v>5.0953580000000001</v>
      </c>
      <c r="P13" s="67"/>
      <c r="Q13" s="13">
        <f>M13*'Energy Use'!$E$5+N13*'Energy Use'!$E$7</f>
        <v>6.4663917200000007</v>
      </c>
      <c r="S13" s="13"/>
      <c r="T13" s="13"/>
      <c r="U13" s="13"/>
      <c r="V13" s="13"/>
      <c r="W13" s="13"/>
    </row>
    <row r="14" spans="1:23">
      <c r="A14" s="57">
        <f>'Energy Use'!B36</f>
        <v>40920</v>
      </c>
      <c r="B14" s="9"/>
      <c r="C14" s="13"/>
      <c r="D14" s="13">
        <f>'Energy Use'!O36</f>
        <v>0.87031499999999995</v>
      </c>
      <c r="E14" s="13">
        <f>'Energy Use'!D36</f>
        <v>6.1844361587755099</v>
      </c>
      <c r="F14" s="9">
        <f>CDD!B25</f>
        <v>0</v>
      </c>
      <c r="G14" s="9">
        <f>HDD!B25</f>
        <v>1309</v>
      </c>
      <c r="H14" s="13"/>
      <c r="I14" s="9"/>
      <c r="J14" s="68"/>
      <c r="K14" s="62">
        <v>0</v>
      </c>
      <c r="L14" s="62">
        <v>1481</v>
      </c>
      <c r="M14" s="77">
        <f t="shared" si="0"/>
        <v>0.87031499999999995</v>
      </c>
      <c r="N14" s="77">
        <f t="shared" si="1"/>
        <v>6.5279999999999996</v>
      </c>
      <c r="O14" s="77">
        <f t="shared" si="2"/>
        <v>7.3983149999999993</v>
      </c>
      <c r="P14" s="67"/>
      <c r="Q14" s="13">
        <f>M14*'Energy Use'!$E$5+N14*'Energy Use'!$E$7</f>
        <v>9.5001321000000001</v>
      </c>
      <c r="S14" s="13"/>
      <c r="T14" s="13"/>
      <c r="U14" s="13"/>
      <c r="V14" s="13"/>
      <c r="W14" s="13"/>
    </row>
    <row r="15" spans="1:23">
      <c r="A15" s="57">
        <f>'Energy Use'!B37</f>
        <v>40940</v>
      </c>
      <c r="B15" s="9"/>
      <c r="C15" s="13"/>
      <c r="D15" s="13">
        <f>'Energy Use'!O37</f>
        <v>0.600688</v>
      </c>
      <c r="E15" s="13">
        <f>'Energy Use'!D37</f>
        <v>5.2290906942857145</v>
      </c>
      <c r="F15" s="9">
        <f>CDD!B26</f>
        <v>0</v>
      </c>
      <c r="G15" s="9">
        <f>HDD!B26</f>
        <v>1080</v>
      </c>
      <c r="H15" s="13"/>
      <c r="I15" s="9"/>
      <c r="J15" s="68"/>
      <c r="K15" s="62">
        <v>0</v>
      </c>
      <c r="L15" s="62">
        <v>1121</v>
      </c>
      <c r="M15" s="77">
        <f t="shared" si="0"/>
        <v>0.600688</v>
      </c>
      <c r="N15" s="77">
        <f t="shared" si="1"/>
        <v>5.016</v>
      </c>
      <c r="O15" s="77">
        <f t="shared" si="2"/>
        <v>5.6166879999999999</v>
      </c>
      <c r="P15" s="67"/>
      <c r="Q15" s="13">
        <f>M15*'Energy Use'!$E$5+N15*'Energy Use'!$E$7</f>
        <v>7.0724579199999997</v>
      </c>
      <c r="S15" s="13"/>
      <c r="T15" s="13"/>
      <c r="U15" s="13"/>
      <c r="V15" s="13"/>
      <c r="W15" s="13"/>
    </row>
    <row r="16" spans="1:23">
      <c r="A16" s="57">
        <f>'Energy Use'!B38</f>
        <v>40969</v>
      </c>
      <c r="B16" s="9"/>
      <c r="C16" s="13"/>
      <c r="D16" s="13">
        <f>'Energy Use'!O38</f>
        <v>0.54608000000000001</v>
      </c>
      <c r="E16" s="13">
        <f>'Energy Use'!D38</f>
        <v>3.3059788800000005</v>
      </c>
      <c r="F16" s="9">
        <f>CDD!B27</f>
        <v>0</v>
      </c>
      <c r="G16" s="9">
        <f>HDD!B27</f>
        <v>883</v>
      </c>
      <c r="H16" s="13"/>
      <c r="I16" s="9"/>
      <c r="J16" s="68"/>
      <c r="K16" s="62">
        <v>0</v>
      </c>
      <c r="L16" s="62">
        <v>749</v>
      </c>
      <c r="M16" s="77">
        <f t="shared" si="0"/>
        <v>0.54608000000000001</v>
      </c>
      <c r="N16" s="77">
        <f t="shared" si="1"/>
        <v>3.4535999999999998</v>
      </c>
      <c r="O16" s="77">
        <f t="shared" si="2"/>
        <v>3.9996799999999997</v>
      </c>
      <c r="P16" s="67"/>
      <c r="Q16" s="13">
        <f>M16*'Energy Use'!$E$5+N16*'Energy Use'!$E$7</f>
        <v>5.3120431999999997</v>
      </c>
      <c r="S16" s="13"/>
      <c r="T16" s="13"/>
      <c r="U16" s="13"/>
      <c r="V16" s="13"/>
      <c r="W16" s="13"/>
    </row>
    <row r="17" spans="1:23">
      <c r="A17" s="57">
        <f>'Energy Use'!B39</f>
        <v>41000</v>
      </c>
      <c r="B17" s="9"/>
      <c r="C17" s="13"/>
      <c r="D17" s="13">
        <f>'Energy Use'!O39</f>
        <v>0.53925400000000001</v>
      </c>
      <c r="E17" s="13">
        <f>'Energy Use'!D39</f>
        <v>1.6505137645714287</v>
      </c>
      <c r="F17" s="9">
        <f>CDD!B28</f>
        <v>13</v>
      </c>
      <c r="G17" s="9">
        <f>HDD!B28</f>
        <v>471</v>
      </c>
      <c r="H17" s="13"/>
      <c r="I17" s="9"/>
      <c r="J17" s="68"/>
      <c r="K17" s="62">
        <v>0</v>
      </c>
      <c r="L17" s="62">
        <v>566</v>
      </c>
      <c r="M17" s="77">
        <f t="shared" si="0"/>
        <v>0.53925400000000001</v>
      </c>
      <c r="N17" s="77">
        <f t="shared" si="1"/>
        <v>2.6849999999999996</v>
      </c>
      <c r="O17" s="77">
        <f t="shared" si="2"/>
        <v>3.2242539999999997</v>
      </c>
      <c r="P17" s="67"/>
      <c r="Q17" s="13">
        <f>M17*'Energy Use'!$E$5+N17*'Energy Use'!$E$7</f>
        <v>4.5129583599999998</v>
      </c>
      <c r="S17" s="13"/>
      <c r="T17" s="13"/>
      <c r="U17" s="13"/>
      <c r="V17" s="13"/>
      <c r="W17" s="13"/>
    </row>
    <row r="18" spans="1:23">
      <c r="A18" s="57">
        <f>'Energy Use'!B40</f>
        <v>41030</v>
      </c>
      <c r="B18" s="9"/>
      <c r="C18" s="13"/>
      <c r="D18" s="13">
        <f>'Energy Use'!O40</f>
        <v>0.40955999999999998</v>
      </c>
      <c r="E18" s="13">
        <f>'Energy Use'!D40</f>
        <v>0.61796667428571428</v>
      </c>
      <c r="F18" s="9">
        <f>CDD!B29</f>
        <v>86</v>
      </c>
      <c r="G18" s="9">
        <f>HDD!B29</f>
        <v>189</v>
      </c>
      <c r="H18" s="13"/>
      <c r="I18" s="9"/>
      <c r="J18" s="68"/>
      <c r="K18" s="62">
        <v>11</v>
      </c>
      <c r="L18" s="62">
        <v>237</v>
      </c>
      <c r="M18" s="77">
        <f t="shared" si="0"/>
        <v>0.40955999999999998</v>
      </c>
      <c r="N18" s="77">
        <f t="shared" si="1"/>
        <v>1.3031999999999999</v>
      </c>
      <c r="O18" s="77">
        <f t="shared" si="2"/>
        <v>1.7127599999999998</v>
      </c>
      <c r="P18" s="67"/>
      <c r="Q18" s="13">
        <f>M18*'Energy Use'!$E$5+N18*'Energy Use'!$E$7</f>
        <v>2.6841623999999999</v>
      </c>
      <c r="S18" s="13"/>
      <c r="T18" s="13"/>
      <c r="U18" s="13"/>
      <c r="V18" s="13"/>
      <c r="W18" s="13"/>
    </row>
    <row r="19" spans="1:23">
      <c r="A19" s="57">
        <f>'Energy Use'!B41</f>
        <v>41061</v>
      </c>
      <c r="B19" s="9"/>
      <c r="C19" s="13"/>
      <c r="D19" s="13">
        <f>'Energy Use'!O41</f>
        <v>0.43003799999999998</v>
      </c>
      <c r="E19" s="13">
        <f>'Energy Use'!D41</f>
        <v>0.6385655634285714</v>
      </c>
      <c r="F19" s="9">
        <f>CDD!B30</f>
        <v>157</v>
      </c>
      <c r="G19" s="9">
        <f>HDD!B30</f>
        <v>69</v>
      </c>
      <c r="H19" s="13"/>
      <c r="I19" s="9"/>
      <c r="J19" s="68"/>
      <c r="K19" s="62">
        <v>109</v>
      </c>
      <c r="L19" s="62">
        <v>82</v>
      </c>
      <c r="M19" s="77">
        <f t="shared" si="0"/>
        <v>0.43003799999999998</v>
      </c>
      <c r="N19" s="77">
        <f t="shared" si="1"/>
        <v>0.6522</v>
      </c>
      <c r="O19" s="77">
        <f t="shared" si="2"/>
        <v>1.082238</v>
      </c>
      <c r="P19" s="67"/>
      <c r="Q19" s="13">
        <f>M19*'Energy Use'!$E$5+N19*'Energy Use'!$E$7</f>
        <v>2.09504892</v>
      </c>
      <c r="S19" s="13"/>
      <c r="T19" s="13"/>
      <c r="U19" s="13"/>
      <c r="V19" s="13"/>
      <c r="W19" s="13"/>
    </row>
    <row r="20" spans="1:23">
      <c r="A20" s="57">
        <f>'Energy Use'!B42</f>
        <v>41101</v>
      </c>
      <c r="B20" s="9"/>
      <c r="C20" s="13"/>
      <c r="D20" s="13">
        <f>'Energy Use'!O42</f>
        <v>0.49488499999999996</v>
      </c>
      <c r="E20" s="13">
        <f>'Energy Use'!D42</f>
        <v>0.6385655634285714</v>
      </c>
      <c r="F20" s="9">
        <f>CDD!B31</f>
        <v>329</v>
      </c>
      <c r="G20" s="9">
        <f>HDD!B31</f>
        <v>16</v>
      </c>
      <c r="H20" s="13"/>
      <c r="I20" s="9"/>
      <c r="J20" s="63"/>
      <c r="K20" s="64">
        <v>95</v>
      </c>
      <c r="L20" s="64">
        <v>11</v>
      </c>
      <c r="M20" s="77">
        <f t="shared" si="0"/>
        <v>0.49488499999999996</v>
      </c>
      <c r="N20" s="77">
        <f t="shared" si="1"/>
        <v>0.35400000000000004</v>
      </c>
      <c r="O20" s="77">
        <f t="shared" si="2"/>
        <v>0.848885</v>
      </c>
      <c r="P20" s="67"/>
      <c r="Q20" s="13">
        <f>M20*'Energy Use'!$E$5+N20*'Energy Use'!$E$7</f>
        <v>2.0104558999999997</v>
      </c>
      <c r="S20" s="35"/>
      <c r="T20" s="35"/>
      <c r="U20" s="35"/>
      <c r="V20" s="35"/>
      <c r="W20" s="35"/>
    </row>
    <row r="21" spans="1:23">
      <c r="A21" s="9"/>
      <c r="B21" s="9"/>
      <c r="C21" s="9"/>
      <c r="D21" s="13">
        <f>SUM(D9:D20)</f>
        <v>6.3925489999999989</v>
      </c>
      <c r="E21" s="13">
        <f>SUM(E9:E20)</f>
        <v>30.737871065714288</v>
      </c>
      <c r="F21" s="9"/>
      <c r="G21" s="9"/>
      <c r="H21" s="9"/>
      <c r="I21" s="9"/>
      <c r="J21" s="68"/>
      <c r="K21" s="65"/>
      <c r="L21" s="65">
        <f>SUM(L9:L20)</f>
        <v>6516</v>
      </c>
      <c r="M21" s="79">
        <f>SUM(M9:M20)</f>
        <v>6.3925489999999989</v>
      </c>
      <c r="N21" s="79">
        <f>SUM(N9:N20)</f>
        <v>31.0608</v>
      </c>
      <c r="O21" s="78">
        <f>SUM(O9:O20)</f>
        <v>37.453349000000003</v>
      </c>
      <c r="P21" s="69"/>
      <c r="Q21" s="13">
        <f>SUM(Q9:Q20)</f>
        <v>52.722521659999984</v>
      </c>
      <c r="T21" s="13"/>
      <c r="U21" s="13"/>
      <c r="V21" s="13"/>
      <c r="W21" s="13"/>
    </row>
    <row r="22" spans="1:23">
      <c r="A22" s="9"/>
      <c r="B22" s="9"/>
      <c r="C22" s="9"/>
      <c r="F22" s="9"/>
      <c r="G22" s="9"/>
      <c r="H22" s="9"/>
      <c r="I22" s="9"/>
      <c r="J22" s="68"/>
      <c r="K22" s="62"/>
      <c r="L22" s="62"/>
      <c r="M22" s="62"/>
      <c r="N22" s="62"/>
      <c r="O22" s="78">
        <f>SUM(D9:D20)+SUM(E9:E20)</f>
        <v>37.13042006571429</v>
      </c>
      <c r="P22" s="9"/>
      <c r="V22" s="13"/>
    </row>
    <row r="23" spans="1:23">
      <c r="A23" s="9"/>
      <c r="B23" s="9"/>
      <c r="C23" s="9"/>
      <c r="F23" s="9"/>
      <c r="G23" s="9"/>
      <c r="H23" s="9"/>
      <c r="I23" s="9"/>
      <c r="J23" s="9"/>
      <c r="K23" s="9"/>
      <c r="L23" s="9"/>
      <c r="O23" s="9"/>
      <c r="P23" s="9"/>
    </row>
    <row r="24" spans="1:23">
      <c r="A24" s="19"/>
      <c r="B24" s="19"/>
      <c r="C24" s="19"/>
      <c r="D24" s="29"/>
      <c r="E24" s="19"/>
      <c r="O24" s="71">
        <f>(O22-O21)/O22</f>
        <v>-8.6971527312156901E-3</v>
      </c>
      <c r="V24" s="71"/>
    </row>
    <row r="25" spans="1:23">
      <c r="A25" s="19"/>
      <c r="B25" s="19"/>
      <c r="C25" s="19"/>
      <c r="D25" s="41"/>
      <c r="E25" s="19"/>
    </row>
    <row r="26" spans="1:23">
      <c r="A26" s="19"/>
      <c r="B26" s="19"/>
      <c r="C26" s="19"/>
      <c r="D26" s="19"/>
      <c r="E26" s="19"/>
    </row>
    <row r="27" spans="1:23">
      <c r="A27" s="19"/>
      <c r="B27" s="19"/>
      <c r="C27" s="19"/>
      <c r="D27" s="19"/>
      <c r="E27" s="19"/>
    </row>
    <row r="28" spans="1:23">
      <c r="A28" s="19"/>
      <c r="B28" s="19"/>
      <c r="C28" s="19"/>
      <c r="D28" s="19"/>
      <c r="E28" s="19"/>
    </row>
    <row r="29" spans="1:23">
      <c r="A29" s="19"/>
      <c r="B29" s="19"/>
      <c r="C29" s="19"/>
      <c r="D29" s="19"/>
      <c r="E29" s="19"/>
    </row>
    <row r="30" spans="1:23">
      <c r="A30" s="19"/>
      <c r="B30" s="19"/>
      <c r="C30" s="19"/>
      <c r="D30" s="19"/>
      <c r="E30" s="19"/>
    </row>
    <row r="31" spans="1:23">
      <c r="A31" s="19"/>
      <c r="B31" s="19"/>
      <c r="C31" s="19"/>
      <c r="D31" s="19"/>
      <c r="E31" s="19"/>
    </row>
  </sheetData>
  <mergeCells count="1">
    <mergeCell ref="J4:L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Propane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2013-03-18T13:05:58Z</dcterms:modified>
</cp:coreProperties>
</file>