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-retrofit" sheetId="9" r:id="rId1"/>
    <sheet name="Gas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T28" i="8"/>
  <c r="T27"/>
  <c r="T26"/>
  <c r="T25"/>
  <c r="T24"/>
  <c r="T23"/>
  <c r="T22"/>
  <c r="T21"/>
  <c r="T20"/>
  <c r="T19"/>
  <c r="T18"/>
  <c r="T17"/>
  <c r="T30" s="1"/>
  <c r="S30"/>
  <c r="E31"/>
  <c r="D31"/>
  <c r="O30"/>
  <c r="O29"/>
  <c r="O28" l="1"/>
  <c r="O27"/>
  <c r="O26"/>
  <c r="O25"/>
  <c r="O24"/>
  <c r="O23"/>
  <c r="O22"/>
  <c r="O21"/>
  <c r="O20"/>
  <c r="O19"/>
  <c r="O18"/>
  <c r="O17"/>
  <c r="I36" i="9"/>
  <c r="O31"/>
  <c r="P31"/>
  <c r="R31"/>
  <c r="E31"/>
  <c r="G31"/>
  <c r="M17" i="8"/>
  <c r="M18"/>
  <c r="M19"/>
  <c r="M20"/>
  <c r="M21"/>
  <c r="M22"/>
  <c r="M23"/>
  <c r="M24"/>
  <c r="M25"/>
  <c r="M37" s="1"/>
  <c r="M35" s="1"/>
  <c r="M26"/>
  <c r="M27"/>
  <c r="M28"/>
  <c r="M36"/>
  <c r="S17"/>
  <c r="D9" i="3"/>
  <c r="P9" s="1"/>
  <c r="S18" i="8"/>
  <c r="D10" i="3" s="1"/>
  <c r="S19" i="8"/>
  <c r="D11" i="3" s="1"/>
  <c r="S20" i="8"/>
  <c r="D12" i="3"/>
  <c r="P12" s="1"/>
  <c r="S21" i="8"/>
  <c r="D13" i="3" s="1"/>
  <c r="S22" i="8"/>
  <c r="D14" i="3" s="1"/>
  <c r="S23" i="8"/>
  <c r="D15" i="3" s="1"/>
  <c r="S24" i="8"/>
  <c r="D16" i="3"/>
  <c r="P16" s="1"/>
  <c r="S25" i="8"/>
  <c r="D17" i="3" s="1"/>
  <c r="S26" i="8"/>
  <c r="D18" i="3" s="1"/>
  <c r="S27" i="8"/>
  <c r="D19" i="3" s="1"/>
  <c r="S28" i="8"/>
  <c r="D20" i="3"/>
  <c r="P20" s="1"/>
  <c r="C17" i="8"/>
  <c r="D17" s="1"/>
  <c r="C18"/>
  <c r="D18" s="1"/>
  <c r="C19"/>
  <c r="D19" s="1"/>
  <c r="C20"/>
  <c r="D20" s="1"/>
  <c r="C21"/>
  <c r="D21" s="1"/>
  <c r="C22"/>
  <c r="D22" s="1"/>
  <c r="C23"/>
  <c r="D23"/>
  <c r="E15" i="3" s="1"/>
  <c r="C24" i="8"/>
  <c r="D24" s="1"/>
  <c r="C25"/>
  <c r="D25" s="1"/>
  <c r="C26"/>
  <c r="D26" s="1"/>
  <c r="C27"/>
  <c r="D27"/>
  <c r="E19" i="3" s="1"/>
  <c r="C28" i="8"/>
  <c r="D28" s="1"/>
  <c r="N9" i="3"/>
  <c r="N12"/>
  <c r="N16"/>
  <c r="N20"/>
  <c r="M20"/>
  <c r="M19"/>
  <c r="M18"/>
  <c r="M17"/>
  <c r="M16"/>
  <c r="M15"/>
  <c r="M14"/>
  <c r="M13"/>
  <c r="M12"/>
  <c r="M11"/>
  <c r="M10"/>
  <c r="M9"/>
  <c r="C16" i="8"/>
  <c r="D16"/>
  <c r="E8" i="3" s="1"/>
  <c r="M16" i="8"/>
  <c r="S16" s="1"/>
  <c r="G56" i="9"/>
  <c r="G57"/>
  <c r="G58"/>
  <c r="G59"/>
  <c r="G60"/>
  <c r="G61"/>
  <c r="G62"/>
  <c r="G63"/>
  <c r="G64"/>
  <c r="G65"/>
  <c r="G66"/>
  <c r="G67"/>
  <c r="I56"/>
  <c r="K56" s="1"/>
  <c r="J56"/>
  <c r="T30"/>
  <c r="T29"/>
  <c r="T28"/>
  <c r="T27"/>
  <c r="F67"/>
  <c r="F66"/>
  <c r="F65"/>
  <c r="F64"/>
  <c r="F63"/>
  <c r="F62"/>
  <c r="F61"/>
  <c r="F60"/>
  <c r="F59"/>
  <c r="F58"/>
  <c r="F57"/>
  <c r="F56"/>
  <c r="T26"/>
  <c r="T25"/>
  <c r="T24"/>
  <c r="T23"/>
  <c r="T22"/>
  <c r="T21"/>
  <c r="T20"/>
  <c r="T19"/>
  <c r="T18"/>
  <c r="T17"/>
  <c r="T16"/>
  <c r="T15"/>
  <c r="T14"/>
  <c r="T13"/>
  <c r="G20" i="3"/>
  <c r="G19"/>
  <c r="G18"/>
  <c r="G17"/>
  <c r="G16"/>
  <c r="G15"/>
  <c r="G14"/>
  <c r="G13"/>
  <c r="G12"/>
  <c r="G11"/>
  <c r="G10"/>
  <c r="G9"/>
  <c r="F20"/>
  <c r="F19"/>
  <c r="F18"/>
  <c r="F17"/>
  <c r="F16"/>
  <c r="F15"/>
  <c r="F14"/>
  <c r="F13"/>
  <c r="F12"/>
  <c r="F11"/>
  <c r="F10"/>
  <c r="F9"/>
  <c r="G8"/>
  <c r="F8"/>
  <c r="F4"/>
  <c r="A20"/>
  <c r="A19"/>
  <c r="A18"/>
  <c r="A17"/>
  <c r="A16"/>
  <c r="A15"/>
  <c r="A14"/>
  <c r="A13"/>
  <c r="A12"/>
  <c r="A11"/>
  <c r="A10"/>
  <c r="A9"/>
  <c r="A8"/>
  <c r="E23" i="8"/>
  <c r="N23"/>
  <c r="N29" s="1"/>
  <c r="N30" s="1"/>
  <c r="N24"/>
  <c r="U24" s="1"/>
  <c r="N25"/>
  <c r="U25"/>
  <c r="N26"/>
  <c r="U26"/>
  <c r="E27"/>
  <c r="N27"/>
  <c r="U27" s="1"/>
  <c r="N28"/>
  <c r="U28" s="1"/>
  <c r="N17"/>
  <c r="U17" s="1"/>
  <c r="N18"/>
  <c r="U18" s="1"/>
  <c r="N19"/>
  <c r="U19" s="1"/>
  <c r="N20"/>
  <c r="U20" s="1"/>
  <c r="N21"/>
  <c r="U21" s="1"/>
  <c r="N22"/>
  <c r="U22" s="1"/>
  <c r="H23"/>
  <c r="R23"/>
  <c r="AA23"/>
  <c r="R24"/>
  <c r="R25"/>
  <c r="R26"/>
  <c r="H27"/>
  <c r="R27"/>
  <c r="AA27"/>
  <c r="R28"/>
  <c r="R17"/>
  <c r="R18"/>
  <c r="R19"/>
  <c r="R20"/>
  <c r="R21"/>
  <c r="R22"/>
  <c r="E25" i="2"/>
  <c r="E24"/>
  <c r="E16"/>
  <c r="E15"/>
  <c r="E14"/>
  <c r="B25"/>
  <c r="B24"/>
  <c r="B23"/>
  <c r="B22"/>
  <c r="B21"/>
  <c r="B20"/>
  <c r="B19"/>
  <c r="B18"/>
  <c r="B17"/>
  <c r="B16"/>
  <c r="B14"/>
  <c r="B15"/>
  <c r="E23"/>
  <c r="E22"/>
  <c r="E21"/>
  <c r="E20"/>
  <c r="E19"/>
  <c r="E18"/>
  <c r="E17"/>
  <c r="D40"/>
  <c r="D38"/>
  <c r="C44"/>
  <c r="D44"/>
  <c r="C41"/>
  <c r="D41"/>
  <c r="C40"/>
  <c r="C39"/>
  <c r="D39"/>
  <c r="C38"/>
  <c r="K36" i="9"/>
  <c r="E36"/>
  <c r="N38"/>
  <c r="M38"/>
  <c r="K38"/>
  <c r="J38"/>
  <c r="I26"/>
  <c r="I25"/>
  <c r="I24"/>
  <c r="I23"/>
  <c r="I22"/>
  <c r="I21"/>
  <c r="I20"/>
  <c r="I19"/>
  <c r="I18"/>
  <c r="I17"/>
  <c r="I16"/>
  <c r="I15"/>
  <c r="I14"/>
  <c r="I13"/>
  <c r="I12"/>
  <c r="I11"/>
  <c r="H26"/>
  <c r="H25"/>
  <c r="H24"/>
  <c r="H23"/>
  <c r="H22"/>
  <c r="H21"/>
  <c r="H20"/>
  <c r="H19"/>
  <c r="H18"/>
  <c r="H17"/>
  <c r="H16"/>
  <c r="H15"/>
  <c r="H14"/>
  <c r="H13"/>
  <c r="H12"/>
  <c r="H11"/>
  <c r="G26"/>
  <c r="G25"/>
  <c r="G24"/>
  <c r="G23"/>
  <c r="G22"/>
  <c r="G21"/>
  <c r="G20"/>
  <c r="G19"/>
  <c r="G18"/>
  <c r="G17"/>
  <c r="G16"/>
  <c r="G15"/>
  <c r="G14"/>
  <c r="G13"/>
  <c r="G12"/>
  <c r="G11"/>
  <c r="F26"/>
  <c r="F25"/>
  <c r="F24"/>
  <c r="F23"/>
  <c r="F22"/>
  <c r="F21"/>
  <c r="F20"/>
  <c r="F19"/>
  <c r="F18"/>
  <c r="F17"/>
  <c r="F16"/>
  <c r="F15"/>
  <c r="F14"/>
  <c r="F13"/>
  <c r="F12"/>
  <c r="F11"/>
  <c r="R22"/>
  <c r="R21"/>
  <c r="R20"/>
  <c r="R19"/>
  <c r="R18"/>
  <c r="R17"/>
  <c r="R16"/>
  <c r="R15"/>
  <c r="R14"/>
  <c r="R13"/>
  <c r="R12"/>
  <c r="R11"/>
  <c r="Q22"/>
  <c r="Q21"/>
  <c r="Q20"/>
  <c r="Q19"/>
  <c r="Q18"/>
  <c r="Q17"/>
  <c r="Q16"/>
  <c r="Q15"/>
  <c r="Q14"/>
  <c r="Q13"/>
  <c r="Q12"/>
  <c r="Q11"/>
  <c r="P22"/>
  <c r="P21"/>
  <c r="P20"/>
  <c r="P19"/>
  <c r="P18"/>
  <c r="P17"/>
  <c r="P16"/>
  <c r="P15"/>
  <c r="P14"/>
  <c r="P13"/>
  <c r="P12"/>
  <c r="P11"/>
  <c r="O22"/>
  <c r="O21"/>
  <c r="O20"/>
  <c r="O19"/>
  <c r="O17"/>
  <c r="O16"/>
  <c r="O15"/>
  <c r="O14"/>
  <c r="O13"/>
  <c r="O12"/>
  <c r="O11"/>
  <c r="O18"/>
  <c r="E4"/>
  <c r="E3"/>
  <c r="E2"/>
  <c r="D17" i="1"/>
  <c r="E17"/>
  <c r="D16"/>
  <c r="D15"/>
  <c r="E15"/>
  <c r="D14"/>
  <c r="D13"/>
  <c r="E13"/>
  <c r="D12"/>
  <c r="D11"/>
  <c r="E11"/>
  <c r="C14" i="8"/>
  <c r="D14" s="1"/>
  <c r="D10" i="1"/>
  <c r="D9"/>
  <c r="E9"/>
  <c r="C12" i="8"/>
  <c r="D12" s="1"/>
  <c r="D8" i="1"/>
  <c r="D7"/>
  <c r="E7"/>
  <c r="C10" i="8"/>
  <c r="D10" s="1"/>
  <c r="D6" i="1"/>
  <c r="D11" i="9"/>
  <c r="D26"/>
  <c r="E26"/>
  <c r="D25"/>
  <c r="D24"/>
  <c r="E24"/>
  <c r="D23"/>
  <c r="D22"/>
  <c r="E22"/>
  <c r="D21"/>
  <c r="D20"/>
  <c r="E20"/>
  <c r="D19"/>
  <c r="D18"/>
  <c r="E18"/>
  <c r="D17"/>
  <c r="D16"/>
  <c r="E16"/>
  <c r="D15"/>
  <c r="D14"/>
  <c r="E14"/>
  <c r="D13"/>
  <c r="D12"/>
  <c r="E12"/>
  <c r="N22"/>
  <c r="N21"/>
  <c r="N20"/>
  <c r="N19"/>
  <c r="N18"/>
  <c r="N17"/>
  <c r="N16"/>
  <c r="N15"/>
  <c r="N14"/>
  <c r="N13"/>
  <c r="N12"/>
  <c r="N11"/>
  <c r="E11"/>
  <c r="E27"/>
  <c r="E25"/>
  <c r="E23"/>
  <c r="E21"/>
  <c r="E19"/>
  <c r="E17"/>
  <c r="E15"/>
  <c r="E13"/>
  <c r="E27" i="1"/>
  <c r="E26"/>
  <c r="E25"/>
  <c r="E24"/>
  <c r="E23"/>
  <c r="E22"/>
  <c r="E21"/>
  <c r="E20"/>
  <c r="E19"/>
  <c r="E18"/>
  <c r="E16"/>
  <c r="E14"/>
  <c r="E12"/>
  <c r="C15" i="8"/>
  <c r="D15" s="1"/>
  <c r="E10" i="1"/>
  <c r="C13" i="8"/>
  <c r="D13" s="1"/>
  <c r="E8" i="1"/>
  <c r="C11" i="8"/>
  <c r="D11" s="1"/>
  <c r="E6" i="1"/>
  <c r="D26" i="2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M15" i="8"/>
  <c r="M14"/>
  <c r="M13"/>
  <c r="M12"/>
  <c r="M11"/>
  <c r="M10"/>
  <c r="C29"/>
  <c r="L8"/>
  <c r="K8"/>
  <c r="N16"/>
  <c r="N15"/>
  <c r="N14"/>
  <c r="N13"/>
  <c r="N12"/>
  <c r="N11"/>
  <c r="N10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E2"/>
  <c r="E3"/>
  <c r="E1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G25" i="2"/>
  <c r="G24"/>
  <c r="G23"/>
  <c r="G22"/>
  <c r="G21"/>
  <c r="G20"/>
  <c r="G19"/>
  <c r="G18"/>
  <c r="G17"/>
  <c r="G16"/>
  <c r="G15"/>
  <c r="G14"/>
  <c r="G13"/>
  <c r="F25"/>
  <c r="F24"/>
  <c r="F23"/>
  <c r="F22"/>
  <c r="F21"/>
  <c r="G44"/>
  <c r="F20"/>
  <c r="G41"/>
  <c r="F19"/>
  <c r="G40"/>
  <c r="F18"/>
  <c r="G39"/>
  <c r="F17"/>
  <c r="G38"/>
  <c r="F16"/>
  <c r="F15"/>
  <c r="F14"/>
  <c r="F13"/>
  <c r="G27" i="1"/>
  <c r="G26"/>
  <c r="G25"/>
  <c r="G24"/>
  <c r="G23"/>
  <c r="G22"/>
  <c r="G21"/>
  <c r="G20"/>
  <c r="G19"/>
  <c r="G18"/>
  <c r="G17"/>
  <c r="G16"/>
  <c r="G15"/>
  <c r="G14"/>
  <c r="G13"/>
  <c r="G8" i="2"/>
  <c r="G9"/>
  <c r="G10"/>
  <c r="G11"/>
  <c r="G12"/>
  <c r="G7"/>
  <c r="F8"/>
  <c r="F9"/>
  <c r="F10"/>
  <c r="F11"/>
  <c r="F12"/>
  <c r="F7"/>
  <c r="G7" i="1"/>
  <c r="G8"/>
  <c r="G9"/>
  <c r="G10"/>
  <c r="G11"/>
  <c r="G12"/>
  <c r="G6"/>
  <c r="C39" i="8"/>
  <c r="Q16"/>
  <c r="T16"/>
  <c r="Q20"/>
  <c r="Q24"/>
  <c r="Q28"/>
  <c r="T10"/>
  <c r="Q10"/>
  <c r="T12"/>
  <c r="Q12"/>
  <c r="T14"/>
  <c r="Q14"/>
  <c r="C40"/>
  <c r="G16"/>
  <c r="Y16"/>
  <c r="C36"/>
  <c r="C37"/>
  <c r="Q18"/>
  <c r="Q22"/>
  <c r="Q26"/>
  <c r="T11"/>
  <c r="Q11"/>
  <c r="T13"/>
  <c r="Q13"/>
  <c r="T15"/>
  <c r="Q15"/>
  <c r="Q17"/>
  <c r="M40"/>
  <c r="Q19"/>
  <c r="Q21"/>
  <c r="T29"/>
  <c r="M39"/>
  <c r="Q23"/>
  <c r="Q25"/>
  <c r="Q27"/>
  <c r="N36" i="9"/>
  <c r="S11" i="8"/>
  <c r="S13"/>
  <c r="S15"/>
  <c r="AB23"/>
  <c r="S10"/>
  <c r="S14"/>
  <c r="G27"/>
  <c r="G23"/>
  <c r="E16"/>
  <c r="C35"/>
  <c r="D35" s="1"/>
  <c r="Y23"/>
  <c r="AB27"/>
  <c r="S12"/>
  <c r="Y27"/>
  <c r="H16"/>
  <c r="Z16"/>
  <c r="Z23"/>
  <c r="Z27"/>
  <c r="AC16"/>
  <c r="AC23"/>
  <c r="AC27"/>
  <c r="G11" l="1"/>
  <c r="Y11" s="1"/>
  <c r="E11"/>
  <c r="G12"/>
  <c r="Y12" s="1"/>
  <c r="E12"/>
  <c r="E17" i="3"/>
  <c r="G25" i="8"/>
  <c r="Y25" s="1"/>
  <c r="E25"/>
  <c r="AB25"/>
  <c r="E10" i="3"/>
  <c r="E18" i="8"/>
  <c r="AB18"/>
  <c r="G18"/>
  <c r="Y18" s="1"/>
  <c r="P14" i="3"/>
  <c r="N14"/>
  <c r="S35" i="8"/>
  <c r="T35" s="1"/>
  <c r="Q35"/>
  <c r="E13" i="3"/>
  <c r="E21" i="8"/>
  <c r="G21"/>
  <c r="Y21" s="1"/>
  <c r="AB21"/>
  <c r="P18" i="3"/>
  <c r="N18"/>
  <c r="P10"/>
  <c r="N10"/>
  <c r="AB12" i="8"/>
  <c r="AD21"/>
  <c r="AD18"/>
  <c r="C33"/>
  <c r="D33" s="1"/>
  <c r="D30"/>
  <c r="S29"/>
  <c r="AB11"/>
  <c r="Q42"/>
  <c r="AD27"/>
  <c r="U23"/>
  <c r="M33"/>
  <c r="G35"/>
  <c r="Y35" s="1"/>
  <c r="E35"/>
  <c r="AB35"/>
  <c r="AB14"/>
  <c r="G14"/>
  <c r="Y14" s="1"/>
  <c r="E14"/>
  <c r="D8" i="3"/>
  <c r="AB16" i="8"/>
  <c r="E26"/>
  <c r="G26"/>
  <c r="Y26" s="1"/>
  <c r="E18" i="3"/>
  <c r="AB26" i="8"/>
  <c r="AB22"/>
  <c r="G22"/>
  <c r="Y22" s="1"/>
  <c r="E14" i="3"/>
  <c r="E22" i="8"/>
  <c r="E11" i="3"/>
  <c r="AB19" i="8"/>
  <c r="G19"/>
  <c r="Y19" s="1"/>
  <c r="E19"/>
  <c r="P19" i="3"/>
  <c r="N19"/>
  <c r="P15"/>
  <c r="P21" s="1"/>
  <c r="N15"/>
  <c r="P11"/>
  <c r="N11"/>
  <c r="S33" i="8"/>
  <c r="T33" s="1"/>
  <c r="Q33"/>
  <c r="G13"/>
  <c r="Y13" s="1"/>
  <c r="AB13"/>
  <c r="E13"/>
  <c r="G15"/>
  <c r="Y15" s="1"/>
  <c r="E15"/>
  <c r="AB15"/>
  <c r="AB10"/>
  <c r="G10"/>
  <c r="Y10" s="1"/>
  <c r="E10"/>
  <c r="E28"/>
  <c r="G28"/>
  <c r="Y28" s="1"/>
  <c r="E20" i="3"/>
  <c r="AB28" i="8"/>
  <c r="E24"/>
  <c r="E30" s="1"/>
  <c r="G24"/>
  <c r="Y24" s="1"/>
  <c r="Y41" s="1"/>
  <c r="AB24"/>
  <c r="E16" i="3"/>
  <c r="N22" s="1"/>
  <c r="E33" i="8"/>
  <c r="AC33" s="1"/>
  <c r="E12" i="3"/>
  <c r="E20" i="8"/>
  <c r="AB20"/>
  <c r="G20"/>
  <c r="Y20" s="1"/>
  <c r="E9" i="3"/>
  <c r="AB17" i="8"/>
  <c r="AB39" s="1"/>
  <c r="E17"/>
  <c r="G17"/>
  <c r="Y17" s="1"/>
  <c r="Y39" s="1"/>
  <c r="P17" i="3"/>
  <c r="N17"/>
  <c r="P13"/>
  <c r="N13"/>
  <c r="H21" i="8" l="1"/>
  <c r="AC21"/>
  <c r="AD25"/>
  <c r="H25"/>
  <c r="AC25"/>
  <c r="AB33"/>
  <c r="AD23"/>
  <c r="U29"/>
  <c r="H18"/>
  <c r="AC18"/>
  <c r="H12"/>
  <c r="Z12" s="1"/>
  <c r="AC12"/>
  <c r="H11"/>
  <c r="Z11" s="1"/>
  <c r="AC11"/>
  <c r="AD20"/>
  <c r="H20"/>
  <c r="AC20"/>
  <c r="H10"/>
  <c r="Z10" s="1"/>
  <c r="AC10"/>
  <c r="H15"/>
  <c r="Z15" s="1"/>
  <c r="AC15"/>
  <c r="H13"/>
  <c r="Z13" s="1"/>
  <c r="AC13"/>
  <c r="AD26"/>
  <c r="H26"/>
  <c r="AC26"/>
  <c r="E42"/>
  <c r="AD17"/>
  <c r="AC17"/>
  <c r="H17"/>
  <c r="AC24"/>
  <c r="AD24"/>
  <c r="H24"/>
  <c r="AD28"/>
  <c r="H28"/>
  <c r="AC28"/>
  <c r="AD19"/>
  <c r="AC19"/>
  <c r="H19"/>
  <c r="AD22"/>
  <c r="H22"/>
  <c r="AC22"/>
  <c r="H14"/>
  <c r="Z14" s="1"/>
  <c r="AC14"/>
  <c r="H35"/>
  <c r="Z35" s="1"/>
  <c r="AC35"/>
  <c r="N21" i="3"/>
  <c r="N24" s="1"/>
  <c r="AB41" i="8"/>
  <c r="Z25" l="1"/>
  <c r="AA25"/>
  <c r="AA18"/>
  <c r="Z18"/>
  <c r="Z21"/>
  <c r="AA21"/>
  <c r="Z17"/>
  <c r="AA17"/>
  <c r="AA20"/>
  <c r="Z20"/>
  <c r="AA22"/>
  <c r="Z22"/>
  <c r="Z19"/>
  <c r="AA19"/>
  <c r="AA28"/>
  <c r="Z28"/>
  <c r="AA24"/>
  <c r="Z24"/>
  <c r="AA26"/>
  <c r="Z26"/>
  <c r="AD41"/>
  <c r="AD39"/>
  <c r="AC41"/>
  <c r="AC39"/>
  <c r="AA41" l="1"/>
  <c r="Z39"/>
  <c r="Z41"/>
  <c r="AA39"/>
</calcChain>
</file>

<file path=xl/comments1.xml><?xml version="1.0" encoding="utf-8"?>
<comments xmlns="http://schemas.openxmlformats.org/spreadsheetml/2006/main">
  <authors>
    <author>Cathy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Since no info was given, use same as unit #1 (heating and DHW is part of Unit #2)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This is for 3/10 - 2/11, but is only info available - se 61 Hampstead Road usage and Buhs - Thomson freewatt data 2-7-2010 - 2-7-2011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This is grid only electricity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This combines grid with Freewatt but maps Aug 10 - Feb 11 of Freewatt to Aug 09 - Feb 10
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Edith Buhs only provided the full year of data for Apt 1: (see 61 Hampstead electricity use)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 total from Pre-retrofit; months do not matter for this calculation </t>
        </r>
      </text>
    </comment>
  </commentList>
</comments>
</file>

<file path=xl/comments2.xml><?xml version="1.0" encoding="utf-8"?>
<comments xmlns="http://schemas.openxmlformats.org/spreadsheetml/2006/main">
  <authors>
    <author>Cathy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For Dec 10 through Nov 11, nothing given so assumed same usage as #3</t>
        </r>
      </text>
    </comment>
  </commentList>
</comments>
</file>

<file path=xl/comments3.xml><?xml version="1.0" encoding="utf-8"?>
<comments xmlns="http://schemas.openxmlformats.org/spreadsheetml/2006/main">
  <authors>
    <author>Cathy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Edith was only able to give approx 225 kwh for the yr Jun 10 - May 12; I assumed this was constant and applied it to the current year. 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Freewatt info from 2010 because nothing was provided by client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Freewatt info from 2010 because nothing was provided by client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Freewatt info from 2010 because nothing was provided by client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Freewatt info from 2011 because nothing was provided by client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info from 2010 because nothing was provided by client</t>
        </r>
      </text>
    </comment>
  </commentList>
</comments>
</file>

<file path=xl/comments4.xml><?xml version="1.0" encoding="utf-8"?>
<comments xmlns="http://schemas.openxmlformats.org/spreadsheetml/2006/main">
  <authors>
    <author>Rosi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<sst xmlns="http://schemas.openxmlformats.org/spreadsheetml/2006/main" count="187" uniqueCount="121">
  <si>
    <t>therms</t>
  </si>
  <si>
    <t>HDD</t>
  </si>
  <si>
    <t>Electricity used</t>
  </si>
  <si>
    <t>(negative)</t>
  </si>
  <si>
    <t>Electric Consumption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</si>
  <si>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</si>
  <si>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</si>
  <si>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</si>
  <si>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</si>
  <si>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</si>
  <si>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</si>
  <si>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</si>
  <si>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</si>
  <si>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</si>
  <si>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</si>
  <si>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</si>
  <si>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</si>
  <si>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</si>
  <si>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</si>
  <si>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</si>
  <si>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</si>
  <si>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</si>
  <si>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</si>
  <si>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</si>
  <si>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</si>
  <si>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</si>
  <si>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</si>
  <si>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Total kwh</t>
  </si>
  <si>
    <t>site</t>
  </si>
  <si>
    <t>Total Mbtu</t>
  </si>
  <si>
    <t>Retrofit Completed</t>
  </si>
  <si>
    <t>Month Starting</t>
  </si>
  <si>
    <t>Pre-retrofit Gas Usage from National Grid</t>
  </si>
  <si>
    <t>Unit 1</t>
  </si>
  <si>
    <t>total</t>
  </si>
  <si>
    <t>#1  therms</t>
  </si>
  <si>
    <t>#2 therms</t>
  </si>
  <si>
    <t>Total therms</t>
  </si>
  <si>
    <t>#3 therms</t>
  </si>
  <si>
    <t>Jamaica Plain 3 Family</t>
  </si>
  <si>
    <t>Buhs</t>
  </si>
  <si>
    <t>Boston, MA, US (71.00W,42.36N)</t>
  </si>
  <si>
    <t>KBOS</t>
  </si>
  <si>
    <t>Boston</t>
  </si>
  <si>
    <t>Units 2&amp;3</t>
  </si>
  <si>
    <t>There are three apartments at the Jamaica Plain home</t>
  </si>
  <si>
    <t xml:space="preserve">Buhs - Nstar </t>
  </si>
  <si>
    <t>Natural Gas</t>
  </si>
  <si>
    <t>#3therms</t>
  </si>
  <si>
    <t>#1 therms</t>
  </si>
  <si>
    <t>Electricity data from application probably just for units 2 and 3; may have to use BEopt model for electricity usage</t>
  </si>
  <si>
    <t>Pre-retrofit Electricity usage from application for Units 2 &amp;3</t>
  </si>
  <si>
    <t>Unit1</t>
  </si>
  <si>
    <t xml:space="preserve">Natural Gas </t>
  </si>
  <si>
    <t xml:space="preserve">Electricity </t>
  </si>
  <si>
    <t>therms (site)</t>
  </si>
  <si>
    <t>PRE-RETROFIT FROM BEOPT : National Grid/Buhs Jamaica Plain/Testing and Analysis/BEopt modeling/1-3 Buhs I.bpj</t>
  </si>
  <si>
    <t>Freewatt</t>
  </si>
  <si>
    <t>PRE-RETROFIT FROM INFORMATION PROVIDED BY CLIENT</t>
  </si>
  <si>
    <t>site kwh from gas</t>
  </si>
  <si>
    <t>site kwh from grid</t>
  </si>
  <si>
    <t>src kwh</t>
  </si>
  <si>
    <t>src Mbtu</t>
  </si>
  <si>
    <t xml:space="preserve">site MBtu </t>
  </si>
  <si>
    <t>Aug 09- Jul 10</t>
  </si>
  <si>
    <t>src kWh</t>
  </si>
  <si>
    <t>site kWh</t>
  </si>
  <si>
    <t>Aug 9 - Jul  10 grid and Mar 10 - Feb 11 Freewatt</t>
  </si>
  <si>
    <t>FreeWatt Production</t>
  </si>
  <si>
    <t>cum hrs</t>
  </si>
  <si>
    <t>hrs</t>
  </si>
  <si>
    <t xml:space="preserve">kw hours </t>
  </si>
  <si>
    <t>Freewatt information (2012-09-21 email and Buhs Thomson freewatt data - 2-7-2010 - 2-7-2011</t>
  </si>
  <si>
    <t>MCHP Power Output</t>
  </si>
  <si>
    <t>MCHP Power Output Factor</t>
  </si>
  <si>
    <t>kW per hour</t>
  </si>
  <si>
    <t>per HDD</t>
  </si>
  <si>
    <t>Freewatt production</t>
  </si>
  <si>
    <t>Totals 12 months</t>
  </si>
  <si>
    <t>Totals 6 months</t>
  </si>
  <si>
    <t>MIN USAGE (12 mos data so average 2 lowest)</t>
  </si>
  <si>
    <t>kWh</t>
  </si>
  <si>
    <t>src if no FW</t>
  </si>
  <si>
    <t>src w FW</t>
  </si>
  <si>
    <t xml:space="preserve">src no FW </t>
  </si>
  <si>
    <t>Mbtu</t>
  </si>
  <si>
    <t>src no FW</t>
  </si>
  <si>
    <t>w FW</t>
  </si>
  <si>
    <t>no FW</t>
  </si>
  <si>
    <t>Linear Regression on Post Retrofit data</t>
  </si>
  <si>
    <t xml:space="preserve">Month </t>
  </si>
  <si>
    <t>Date</t>
  </si>
  <si>
    <t>Actual CDD</t>
  </si>
  <si>
    <t>Actual HDD</t>
  </si>
  <si>
    <t>Predicted (BEopt 1.3) BOSTON</t>
  </si>
  <si>
    <t>BEopt 1.3 kWh</t>
  </si>
  <si>
    <t>BEopt 1.3 CDD</t>
  </si>
  <si>
    <t>BEopt 1.3 HDD</t>
  </si>
  <si>
    <t>Electricity</t>
  </si>
  <si>
    <t>Actual site energy</t>
  </si>
  <si>
    <t>WEATHER NORMALIZATION</t>
  </si>
  <si>
    <t>Normalized</t>
  </si>
  <si>
    <t>Gas Site</t>
  </si>
  <si>
    <t>Src</t>
  </si>
  <si>
    <t>Used Oct 09 thru Sep 10 for gas</t>
  </si>
  <si>
    <t>HDD's start at Oct 09</t>
  </si>
  <si>
    <t>WEATHER NORMALIZED TOTAL IN MMBtus</t>
  </si>
  <si>
    <t>Unnormalized</t>
  </si>
  <si>
    <t>Src  Gas</t>
  </si>
  <si>
    <t>Src Elect</t>
  </si>
  <si>
    <t>Total Normalized Src</t>
  </si>
  <si>
    <t>NOT USED</t>
  </si>
  <si>
    <t>MMBtu</t>
  </si>
  <si>
    <t xml:space="preserve">Normalized </t>
  </si>
  <si>
    <t>Source</t>
  </si>
  <si>
    <t>Nat Gas</t>
  </si>
  <si>
    <t>MIN USAGE (6 mos)</t>
  </si>
  <si>
    <t>12 mo MMBtu</t>
  </si>
  <si>
    <t>6 mo</t>
  </si>
  <si>
    <t>site kWh excluding gen + used</t>
  </si>
  <si>
    <t>12 mo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</si>
</sst>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.00000"/>
    <numFmt numFmtId="167" formatCode="_(* #,##0_);_(* \(#,##0\);_(* &quot;-&quot;??_);_(@_)"/>
    <numFmt numFmtId="168" formatCode="[$-409]mmm\-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127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/>
    <xf numFmtId="0" fontId="18" fillId="33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18" fillId="0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0" fontId="0" fillId="0" borderId="10" xfId="0" applyBorder="1"/>
    <xf numFmtId="0" fontId="18" fillId="34" borderId="10" xfId="42" applyNumberFormat="1" applyFont="1" applyFill="1" applyBorder="1" applyAlignment="1">
      <alignment wrapText="1"/>
    </xf>
    <xf numFmtId="0" fontId="0" fillId="34" borderId="10" xfId="0" applyFill="1" applyBorder="1"/>
    <xf numFmtId="0" fontId="18" fillId="34" borderId="11" xfId="42" applyNumberFormat="1" applyFont="1" applyFill="1" applyBorder="1" applyAlignment="1">
      <alignment wrapText="1"/>
    </xf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0" fillId="34" borderId="0" xfId="0" applyFill="1"/>
    <xf numFmtId="2" fontId="18" fillId="34" borderId="10" xfId="42" applyNumberFormat="1" applyFont="1" applyFill="1" applyBorder="1" applyAlignment="1">
      <alignment wrapText="1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17" fontId="0" fillId="0" borderId="15" xfId="0" applyNumberFormat="1" applyBorder="1"/>
    <xf numFmtId="17" fontId="0" fillId="0" borderId="17" xfId="0" applyNumberFormat="1" applyBorder="1"/>
    <xf numFmtId="0" fontId="0" fillId="0" borderId="18" xfId="0" applyBorder="1"/>
    <xf numFmtId="0" fontId="0" fillId="0" borderId="10" xfId="0" applyFill="1" applyBorder="1"/>
    <xf numFmtId="14" fontId="20" fillId="0" borderId="19" xfId="0" applyNumberFormat="1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0" fillId="0" borderId="17" xfId="0" applyBorder="1"/>
    <xf numFmtId="0" fontId="0" fillId="0" borderId="20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0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20" xfId="0" applyNumberFormat="1" applyBorder="1"/>
    <xf numFmtId="0" fontId="0" fillId="0" borderId="22" xfId="0" applyFill="1" applyBorder="1"/>
    <xf numFmtId="0" fontId="0" fillId="0" borderId="23" xfId="0" applyFill="1" applyBorder="1"/>
    <xf numFmtId="2" fontId="18" fillId="0" borderId="21" xfId="42" applyNumberFormat="1" applyFont="1" applyFill="1" applyBorder="1" applyAlignment="1">
      <alignment wrapText="1"/>
    </xf>
    <xf numFmtId="2" fontId="0" fillId="0" borderId="23" xfId="0" applyNumberFormat="1" applyFill="1" applyBorder="1"/>
    <xf numFmtId="2" fontId="0" fillId="0" borderId="22" xfId="0" applyNumberFormat="1" applyFill="1" applyBorder="1"/>
    <xf numFmtId="2" fontId="0" fillId="0" borderId="24" xfId="0" applyNumberFormat="1" applyFill="1" applyBorder="1"/>
    <xf numFmtId="0" fontId="23" fillId="0" borderId="0" xfId="42" applyFont="1" applyAlignment="1"/>
    <xf numFmtId="14" fontId="24" fillId="0" borderId="0" xfId="42" applyNumberFormat="1" applyFont="1" applyAlignment="1"/>
    <xf numFmtId="1" fontId="18" fillId="0" borderId="0" xfId="42" applyNumberFormat="1" applyAlignment="1"/>
    <xf numFmtId="164" fontId="18" fillId="0" borderId="0" xfId="42" applyNumberFormat="1" applyAlignment="1"/>
    <xf numFmtId="3" fontId="18" fillId="0" borderId="0" xfId="42" applyNumberFormat="1" applyAlignment="1"/>
    <xf numFmtId="0" fontId="18" fillId="0" borderId="0" xfId="42" applyAlignment="1">
      <alignment horizontal="left" indent="1"/>
    </xf>
    <xf numFmtId="165" fontId="18" fillId="0" borderId="0" xfId="42" applyNumberFormat="1" applyFill="1" applyAlignment="1">
      <alignment horizontal="right"/>
    </xf>
    <xf numFmtId="166" fontId="18" fillId="0" borderId="0" xfId="42" applyNumberFormat="1" applyFill="1" applyAlignment="1">
      <alignment horizontal="right"/>
    </xf>
    <xf numFmtId="0" fontId="18" fillId="0" borderId="0" xfId="42" applyAlignment="1"/>
    <xf numFmtId="14" fontId="25" fillId="0" borderId="0" xfId="42" applyNumberFormat="1" applyFont="1" applyAlignment="1"/>
    <xf numFmtId="0" fontId="26" fillId="0" borderId="0" xfId="43" applyFont="1" applyAlignment="1" applyProtection="1"/>
    <xf numFmtId="14" fontId="18" fillId="0" borderId="0" xfId="42" applyNumberFormat="1" applyAlignment="1"/>
    <xf numFmtId="1" fontId="18" fillId="0" borderId="0" xfId="42" applyNumberFormat="1" applyFont="1" applyAlignment="1">
      <alignment horizontal="center"/>
    </xf>
    <xf numFmtId="164" fontId="18" fillId="0" borderId="0" xfId="42" applyNumberFormat="1" applyFont="1" applyAlignment="1"/>
    <xf numFmtId="0" fontId="25" fillId="0" borderId="18" xfId="42" applyFont="1" applyBorder="1" applyAlignment="1">
      <alignment wrapText="1"/>
    </xf>
    <xf numFmtId="14" fontId="25" fillId="0" borderId="18" xfId="42" applyNumberFormat="1" applyFont="1" applyBorder="1" applyAlignment="1">
      <alignment horizontal="left" wrapText="1"/>
    </xf>
    <xf numFmtId="1" fontId="25" fillId="0" borderId="18" xfId="42" applyNumberFormat="1" applyFont="1" applyBorder="1" applyAlignment="1">
      <alignment horizontal="left" wrapText="1"/>
    </xf>
    <xf numFmtId="3" fontId="25" fillId="0" borderId="18" xfId="42" applyNumberFormat="1" applyFont="1" applyBorder="1" applyAlignment="1">
      <alignment horizontal="left" wrapText="1"/>
    </xf>
    <xf numFmtId="0" fontId="25" fillId="0" borderId="18" xfId="42" applyFont="1" applyBorder="1" applyAlignment="1">
      <alignment horizontal="left" wrapText="1"/>
    </xf>
    <xf numFmtId="165" fontId="25" fillId="0" borderId="18" xfId="42" applyNumberFormat="1" applyFont="1" applyFill="1" applyBorder="1" applyAlignment="1">
      <alignment horizontal="left" wrapText="1"/>
    </xf>
    <xf numFmtId="166" fontId="25" fillId="0" borderId="18" xfId="42" applyNumberFormat="1" applyFont="1" applyFill="1" applyBorder="1" applyAlignment="1">
      <alignment horizontal="center" wrapText="1"/>
    </xf>
    <xf numFmtId="166" fontId="25" fillId="0" borderId="18" xfId="42" applyNumberFormat="1" applyFont="1" applyFill="1" applyBorder="1" applyAlignment="1">
      <alignment horizontal="right" wrapText="1"/>
    </xf>
    <xf numFmtId="167" fontId="18" fillId="0" borderId="0" xfId="44" applyNumberFormat="1"/>
    <xf numFmtId="17" fontId="18" fillId="0" borderId="0" xfId="42" applyNumberFormat="1" applyAlignment="1"/>
    <xf numFmtId="0" fontId="18" fillId="0" borderId="0" xfId="42" applyNumberFormat="1" applyAlignment="1"/>
    <xf numFmtId="0" fontId="18" fillId="0" borderId="0" xfId="42" applyNumberFormat="1" applyFill="1" applyAlignment="1"/>
    <xf numFmtId="0" fontId="27" fillId="0" borderId="0" xfId="0" applyFont="1"/>
    <xf numFmtId="0" fontId="27" fillId="0" borderId="0" xfId="0" applyFont="1" applyBorder="1"/>
    <xf numFmtId="17" fontId="18" fillId="0" borderId="18" xfId="42" applyNumberFormat="1" applyBorder="1" applyAlignment="1"/>
    <xf numFmtId="14" fontId="18" fillId="0" borderId="18" xfId="42" applyNumberFormat="1" applyBorder="1" applyAlignment="1"/>
    <xf numFmtId="1" fontId="18" fillId="0" borderId="18" xfId="42" applyNumberFormat="1" applyBorder="1" applyAlignment="1"/>
    <xf numFmtId="0" fontId="18" fillId="0" borderId="18" xfId="42" applyNumberFormat="1" applyBorder="1" applyAlignment="1"/>
    <xf numFmtId="164" fontId="18" fillId="0" borderId="18" xfId="42" applyNumberFormat="1" applyBorder="1" applyAlignment="1"/>
    <xf numFmtId="0" fontId="27" fillId="0" borderId="18" xfId="0" applyFont="1" applyBorder="1"/>
    <xf numFmtId="14" fontId="18" fillId="0" borderId="0" xfId="42" applyNumberFormat="1" applyBorder="1" applyAlignment="1"/>
    <xf numFmtId="164" fontId="18" fillId="0" borderId="0" xfId="42" applyNumberFormat="1" applyBorder="1" applyAlignment="1"/>
    <xf numFmtId="0" fontId="18" fillId="0" borderId="0" xfId="42" applyNumberFormat="1" applyBorder="1" applyAlignment="1"/>
    <xf numFmtId="168" fontId="18" fillId="0" borderId="0" xfId="42" applyNumberFormat="1" applyAlignment="1"/>
    <xf numFmtId="1" fontId="28" fillId="0" borderId="0" xfId="0" applyNumberFormat="1" applyFont="1"/>
    <xf numFmtId="168" fontId="27" fillId="0" borderId="0" xfId="0" applyNumberFormat="1" applyFont="1"/>
    <xf numFmtId="9" fontId="27" fillId="0" borderId="0" xfId="0" applyNumberFormat="1" applyFont="1"/>
    <xf numFmtId="166" fontId="18" fillId="0" borderId="0" xfId="42" applyNumberFormat="1" applyFill="1" applyBorder="1" applyAlignment="1">
      <alignment horizontal="right"/>
    </xf>
    <xf numFmtId="166" fontId="18" fillId="0" borderId="0" xfId="42" applyNumberFormat="1" applyFill="1" applyAlignment="1">
      <alignment horizontal="left"/>
    </xf>
    <xf numFmtId="4" fontId="18" fillId="0" borderId="18" xfId="42" applyNumberFormat="1" applyBorder="1" applyAlignment="1"/>
    <xf numFmtId="17" fontId="0" fillId="0" borderId="12" xfId="0" applyNumberFormat="1" applyBorder="1"/>
    <xf numFmtId="0" fontId="18" fillId="0" borderId="13" xfId="42" applyNumberFormat="1" applyBorder="1" applyAlignment="1"/>
    <xf numFmtId="0" fontId="27" fillId="0" borderId="13" xfId="0" applyFont="1" applyBorder="1"/>
    <xf numFmtId="0" fontId="27" fillId="0" borderId="14" xfId="0" applyFont="1" applyBorder="1"/>
    <xf numFmtId="0" fontId="27" fillId="0" borderId="16" xfId="0" applyFont="1" applyBorder="1"/>
    <xf numFmtId="0" fontId="27" fillId="0" borderId="20" xfId="0" applyFont="1" applyBorder="1"/>
    <xf numFmtId="0" fontId="0" fillId="0" borderId="16" xfId="0" applyFill="1" applyBorder="1"/>
    <xf numFmtId="14" fontId="18" fillId="0" borderId="0" xfId="42" applyNumberFormat="1" applyFill="1" applyBorder="1" applyAlignment="1"/>
    <xf numFmtId="1" fontId="0" fillId="0" borderId="0" xfId="0" applyNumberFormat="1" applyFill="1" applyBorder="1"/>
    <xf numFmtId="2" fontId="18" fillId="0" borderId="18" xfId="42" applyNumberFormat="1" applyBorder="1" applyAlignment="1"/>
    <xf numFmtId="2" fontId="28" fillId="35" borderId="0" xfId="0" applyNumberFormat="1" applyFont="1" applyFill="1" applyBorder="1"/>
    <xf numFmtId="4" fontId="18" fillId="0" borderId="0" xfId="42" applyNumberFormat="1" applyFill="1" applyAlignment="1">
      <alignment horizontal="right"/>
    </xf>
    <xf numFmtId="2" fontId="0" fillId="0" borderId="0" xfId="0" applyNumberFormat="1" applyFill="1" applyBorder="1"/>
    <xf numFmtId="2" fontId="28" fillId="35" borderId="18" xfId="0" applyNumberFormat="1" applyFont="1" applyFill="1" applyBorder="1"/>
    <xf numFmtId="4" fontId="18" fillId="0" borderId="18" xfId="42" applyNumberFormat="1" applyFill="1" applyBorder="1" applyAlignment="1">
      <alignment horizontal="right"/>
    </xf>
    <xf numFmtId="2" fontId="0" fillId="0" borderId="18" xfId="0" applyNumberFormat="1" applyFill="1" applyBorder="1"/>
    <xf numFmtId="0" fontId="18" fillId="0" borderId="0" xfId="42" applyNumberFormat="1" applyFont="1" applyFill="1" applyBorder="1" applyAlignment="1">
      <alignment wrapText="1"/>
    </xf>
    <xf numFmtId="0" fontId="0" fillId="0" borderId="22" xfId="0" applyBorder="1"/>
    <xf numFmtId="0" fontId="18" fillId="0" borderId="23" xfId="42" applyNumberFormat="1" applyFont="1" applyFill="1" applyBorder="1" applyAlignment="1">
      <alignment wrapText="1"/>
    </xf>
    <xf numFmtId="2" fontId="18" fillId="0" borderId="23" xfId="42" applyNumberFormat="1" applyFont="1" applyFill="1" applyBorder="1" applyAlignment="1">
      <alignment wrapText="1"/>
    </xf>
    <xf numFmtId="0" fontId="0" fillId="0" borderId="23" xfId="0" applyBorder="1"/>
    <xf numFmtId="2" fontId="0" fillId="0" borderId="23" xfId="0" applyNumberFormat="1" applyBorder="1"/>
    <xf numFmtId="0" fontId="18" fillId="33" borderId="0" xfId="42" applyNumberFormat="1" applyFont="1" applyFill="1" applyBorder="1" applyAlignment="1">
      <alignment wrapText="1"/>
    </xf>
    <xf numFmtId="0" fontId="18" fillId="34" borderId="0" xfId="42" applyNumberFormat="1" applyFont="1" applyFill="1" applyBorder="1" applyAlignment="1">
      <alignment wrapText="1"/>
    </xf>
    <xf numFmtId="0" fontId="0" fillId="0" borderId="0" xfId="0" applyAlignment="1">
      <alignment wrapText="1"/>
    </xf>
    <xf numFmtId="2" fontId="18" fillId="34" borderId="0" xfId="42" applyNumberFormat="1" applyFont="1" applyFill="1" applyBorder="1" applyAlignment="1">
      <alignment wrapText="1"/>
    </xf>
    <xf numFmtId="3" fontId="18" fillId="0" borderId="0" xfId="42" applyNumberFormat="1" applyFont="1" applyAlignment="1">
      <alignment horizontal="center"/>
    </xf>
    <xf numFmtId="0" fontId="0" fillId="0" borderId="0" xfId="0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4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'Pre-retrofit'!$T$13:$T$24</c:f>
              <c:numCache>
                <c:formatCode>General</c:formatCode>
                <c:ptCount val="12"/>
                <c:pt idx="0">
                  <c:v>412</c:v>
                </c:pt>
                <c:pt idx="1">
                  <c:v>485</c:v>
                </c:pt>
                <c:pt idx="2">
                  <c:v>988</c:v>
                </c:pt>
                <c:pt idx="3">
                  <c:v>1096</c:v>
                </c:pt>
                <c:pt idx="4">
                  <c:v>901</c:v>
                </c:pt>
                <c:pt idx="5">
                  <c:v>658</c:v>
                </c:pt>
                <c:pt idx="6">
                  <c:v>385</c:v>
                </c:pt>
                <c:pt idx="7">
                  <c:v>172</c:v>
                </c:pt>
                <c:pt idx="8">
                  <c:v>42</c:v>
                </c:pt>
                <c:pt idx="9">
                  <c:v>3</c:v>
                </c:pt>
                <c:pt idx="10">
                  <c:v>10</c:v>
                </c:pt>
                <c:pt idx="11">
                  <c:v>55</c:v>
                </c:pt>
              </c:numCache>
            </c:numRef>
          </c:xVal>
          <c:yVal>
            <c:numRef>
              <c:f>'Pre-retrofit'!$F$13:$F$24</c:f>
              <c:numCache>
                <c:formatCode>General</c:formatCode>
                <c:ptCount val="12"/>
                <c:pt idx="0">
                  <c:v>9.5</c:v>
                </c:pt>
                <c:pt idx="1">
                  <c:v>13.5</c:v>
                </c:pt>
                <c:pt idx="2">
                  <c:v>22.8</c:v>
                </c:pt>
                <c:pt idx="3">
                  <c:v>37.700000000000003</c:v>
                </c:pt>
                <c:pt idx="4">
                  <c:v>30.200000000000003</c:v>
                </c:pt>
                <c:pt idx="5">
                  <c:v>23.3</c:v>
                </c:pt>
                <c:pt idx="6">
                  <c:v>14.200000000000001</c:v>
                </c:pt>
                <c:pt idx="7">
                  <c:v>10</c:v>
                </c:pt>
                <c:pt idx="8">
                  <c:v>4.8000000000000007</c:v>
                </c:pt>
                <c:pt idx="9">
                  <c:v>3.7</c:v>
                </c:pt>
                <c:pt idx="10">
                  <c:v>3.2</c:v>
                </c:pt>
                <c:pt idx="11">
                  <c:v>4.7</c:v>
                </c:pt>
              </c:numCache>
            </c:numRef>
          </c:yVal>
        </c:ser>
        <c:axId val="70078464"/>
        <c:axId val="70080000"/>
      </c:scatterChart>
      <c:valAx>
        <c:axId val="70078464"/>
        <c:scaling>
          <c:orientation val="minMax"/>
        </c:scaling>
        <c:axPos val="b"/>
        <c:numFmt formatCode="General" sourceLinked="1"/>
        <c:tickLblPos val="nextTo"/>
        <c:crossAx val="70080000"/>
        <c:crosses val="autoZero"/>
        <c:crossBetween val="midCat"/>
      </c:valAx>
      <c:valAx>
        <c:axId val="70080000"/>
        <c:scaling>
          <c:orientation val="minMax"/>
        </c:scaling>
        <c:axPos val="l"/>
        <c:majorGridlines/>
        <c:numFmt formatCode="General" sourceLinked="1"/>
        <c:tickLblPos val="nextTo"/>
        <c:crossAx val="700784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Jamaica Plain 3-</a:t>
            </a:r>
            <a:r>
              <a:rPr lang="en-US" baseline="0"/>
              <a:t>Family Natural Gas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62"/>
          <c:w val="0.70199463053389743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Gas!$E$5</c:f>
              <c:strCache>
                <c:ptCount val="1"/>
                <c:pt idx="0">
                  <c:v>Total 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Gas!$A$6:$A$25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40735</c:v>
                </c:pt>
                <c:pt idx="8">
                  <c:v>40766</c:v>
                </c:pt>
                <c:pt idx="9">
                  <c:v>40797</c:v>
                </c:pt>
                <c:pt idx="10">
                  <c:v>40827</c:v>
                </c:pt>
                <c:pt idx="11">
                  <c:v>40858</c:v>
                </c:pt>
                <c:pt idx="12">
                  <c:v>40888</c:v>
                </c:pt>
                <c:pt idx="13">
                  <c:v>40920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Gas!$E$6:$E$25</c:f>
              <c:numCache>
                <c:formatCode>General</c:formatCode>
                <c:ptCount val="20"/>
                <c:pt idx="0">
                  <c:v>255</c:v>
                </c:pt>
                <c:pt idx="1">
                  <c:v>366</c:v>
                </c:pt>
                <c:pt idx="2">
                  <c:v>374</c:v>
                </c:pt>
                <c:pt idx="3">
                  <c:v>312</c:v>
                </c:pt>
                <c:pt idx="4">
                  <c:v>215</c:v>
                </c:pt>
                <c:pt idx="5">
                  <c:v>57</c:v>
                </c:pt>
                <c:pt idx="6">
                  <c:v>33</c:v>
                </c:pt>
                <c:pt idx="7">
                  <c:v>34</c:v>
                </c:pt>
                <c:pt idx="8">
                  <c:v>26</c:v>
                </c:pt>
                <c:pt idx="9">
                  <c:v>42</c:v>
                </c:pt>
                <c:pt idx="10">
                  <c:v>38</c:v>
                </c:pt>
                <c:pt idx="11">
                  <c:v>65</c:v>
                </c:pt>
                <c:pt idx="12">
                  <c:v>73</c:v>
                </c:pt>
                <c:pt idx="13">
                  <c:v>150</c:v>
                </c:pt>
                <c:pt idx="14">
                  <c:v>110</c:v>
                </c:pt>
                <c:pt idx="15">
                  <c:v>103</c:v>
                </c:pt>
                <c:pt idx="16">
                  <c:v>72</c:v>
                </c:pt>
                <c:pt idx="17">
                  <c:v>49</c:v>
                </c:pt>
                <c:pt idx="18">
                  <c:v>39</c:v>
                </c:pt>
                <c:pt idx="19">
                  <c:v>31</c:v>
                </c:pt>
              </c:numCache>
            </c:numRef>
          </c:val>
        </c:ser>
        <c:axId val="70402432"/>
        <c:axId val="70403968"/>
      </c:barChart>
      <c:lineChart>
        <c:grouping val="standard"/>
        <c:ser>
          <c:idx val="1"/>
          <c:order val="1"/>
          <c:tx>
            <c:strRef>
              <c:f>Gas!$G$5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Gas!$A$6:$A$12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Gas!$G$6:$G$25</c:f>
              <c:numCache>
                <c:formatCode>General</c:formatCode>
                <c:ptCount val="20"/>
                <c:pt idx="0">
                  <c:v>1154</c:v>
                </c:pt>
                <c:pt idx="1">
                  <c:v>964</c:v>
                </c:pt>
                <c:pt idx="2">
                  <c:v>813</c:v>
                </c:pt>
                <c:pt idx="3">
                  <c:v>468</c:v>
                </c:pt>
                <c:pt idx="4">
                  <c:v>255</c:v>
                </c:pt>
                <c:pt idx="5">
                  <c:v>75</c:v>
                </c:pt>
                <c:pt idx="6">
                  <c:v>0</c:v>
                </c:pt>
                <c:pt idx="7">
                  <c:v>2</c:v>
                </c:pt>
                <c:pt idx="8">
                  <c:v>57</c:v>
                </c:pt>
                <c:pt idx="9">
                  <c:v>267</c:v>
                </c:pt>
                <c:pt idx="10">
                  <c:v>449</c:v>
                </c:pt>
                <c:pt idx="11">
                  <c:v>764</c:v>
                </c:pt>
                <c:pt idx="12">
                  <c:v>959</c:v>
                </c:pt>
                <c:pt idx="13">
                  <c:v>801</c:v>
                </c:pt>
                <c:pt idx="14">
                  <c:v>608</c:v>
                </c:pt>
                <c:pt idx="15">
                  <c:v>398</c:v>
                </c:pt>
                <c:pt idx="16">
                  <c:v>204</c:v>
                </c:pt>
                <c:pt idx="17">
                  <c:v>94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</c:ser>
        <c:marker val="1"/>
        <c:axId val="70425984"/>
        <c:axId val="70423296"/>
      </c:lineChart>
      <c:dateAx>
        <c:axId val="70402432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70403968"/>
        <c:crosses val="autoZero"/>
        <c:auto val="1"/>
        <c:lblOffset val="100"/>
        <c:baseTimeUnit val="months"/>
      </c:dateAx>
      <c:valAx>
        <c:axId val="704039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</c:title>
        <c:numFmt formatCode="General" sourceLinked="1"/>
        <c:tickLblPos val="nextTo"/>
        <c:crossAx val="70402432"/>
        <c:crosses val="autoZero"/>
        <c:crossBetween val="between"/>
      </c:valAx>
      <c:valAx>
        <c:axId val="7042329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70425984"/>
        <c:crosses val="max"/>
        <c:crossBetween val="between"/>
      </c:valAx>
      <c:dateAx>
        <c:axId val="70425984"/>
        <c:scaling>
          <c:orientation val="minMax"/>
        </c:scaling>
        <c:delete val="1"/>
        <c:axPos val="b"/>
        <c:numFmt formatCode="mmm-yy" sourceLinked="1"/>
        <c:tickLblPos val="none"/>
        <c:crossAx val="7042329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071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Jamaica Plain 3-</a:t>
            </a:r>
            <a:r>
              <a:rPr lang="en-US" sz="1200" baseline="0"/>
              <a:t>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434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40731</c:v>
                </c:pt>
                <c:pt idx="7">
                  <c:v>40764</c:v>
                </c:pt>
                <c:pt idx="8">
                  <c:v>40794</c:v>
                </c:pt>
                <c:pt idx="9">
                  <c:v>40823</c:v>
                </c:pt>
                <c:pt idx="10">
                  <c:v>40855</c:v>
                </c:pt>
                <c:pt idx="11">
                  <c:v>40885</c:v>
                </c:pt>
                <c:pt idx="12">
                  <c:v>40918</c:v>
                </c:pt>
                <c:pt idx="13">
                  <c:v>40947</c:v>
                </c:pt>
                <c:pt idx="14">
                  <c:v>40977</c:v>
                </c:pt>
                <c:pt idx="15">
                  <c:v>41005</c:v>
                </c:pt>
                <c:pt idx="16">
                  <c:v>41038</c:v>
                </c:pt>
                <c:pt idx="17">
                  <c:v>41068</c:v>
                </c:pt>
                <c:pt idx="18">
                  <c:v>41100</c:v>
                </c:pt>
              </c:numCache>
            </c:numRef>
          </c:cat>
          <c:val>
            <c:numRef>
              <c:f>Elec!$D$7:$D$25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568.75</c:v>
                </c:pt>
                <c:pt idx="8">
                  <c:v>501.75</c:v>
                </c:pt>
                <c:pt idx="9">
                  <c:v>485.75</c:v>
                </c:pt>
                <c:pt idx="10">
                  <c:v>498.98999999999995</c:v>
                </c:pt>
                <c:pt idx="11">
                  <c:v>532.27</c:v>
                </c:pt>
                <c:pt idx="12">
                  <c:v>651.25</c:v>
                </c:pt>
                <c:pt idx="13">
                  <c:v>442.04999999999995</c:v>
                </c:pt>
                <c:pt idx="14">
                  <c:v>491.69</c:v>
                </c:pt>
                <c:pt idx="15">
                  <c:v>478.69</c:v>
                </c:pt>
                <c:pt idx="16">
                  <c:v>590.69000000000005</c:v>
                </c:pt>
                <c:pt idx="17">
                  <c:v>451.75</c:v>
                </c:pt>
                <c:pt idx="18">
                  <c:v>459.75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FreeWatt Production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40731</c:v>
                </c:pt>
                <c:pt idx="7">
                  <c:v>40764</c:v>
                </c:pt>
                <c:pt idx="8">
                  <c:v>40794</c:v>
                </c:pt>
                <c:pt idx="9">
                  <c:v>40823</c:v>
                </c:pt>
                <c:pt idx="10">
                  <c:v>40855</c:v>
                </c:pt>
                <c:pt idx="11">
                  <c:v>40885</c:v>
                </c:pt>
                <c:pt idx="12">
                  <c:v>40918</c:v>
                </c:pt>
                <c:pt idx="13">
                  <c:v>40947</c:v>
                </c:pt>
                <c:pt idx="14">
                  <c:v>40977</c:v>
                </c:pt>
                <c:pt idx="15">
                  <c:v>41005</c:v>
                </c:pt>
                <c:pt idx="16">
                  <c:v>41038</c:v>
                </c:pt>
                <c:pt idx="17">
                  <c:v>41068</c:v>
                </c:pt>
                <c:pt idx="18">
                  <c:v>41100</c:v>
                </c:pt>
              </c:numCache>
            </c:numRef>
          </c:cat>
          <c:val>
            <c:numRef>
              <c:f>Elec!$E$7:$E$25</c:f>
              <c:numCache>
                <c:formatCode>General</c:formatCode>
                <c:ptCount val="19"/>
                <c:pt idx="7">
                  <c:v>-36</c:v>
                </c:pt>
                <c:pt idx="8">
                  <c:v>-57</c:v>
                </c:pt>
                <c:pt idx="9">
                  <c:v>-82</c:v>
                </c:pt>
                <c:pt idx="10">
                  <c:v>-303.23999999999995</c:v>
                </c:pt>
                <c:pt idx="11">
                  <c:v>-647.52</c:v>
                </c:pt>
                <c:pt idx="12">
                  <c:v>-598.5</c:v>
                </c:pt>
                <c:pt idx="13">
                  <c:v>-393.29999999999995</c:v>
                </c:pt>
                <c:pt idx="14">
                  <c:v>-289.94</c:v>
                </c:pt>
                <c:pt idx="15">
                  <c:v>-289.94</c:v>
                </c:pt>
                <c:pt idx="16">
                  <c:v>-289.94</c:v>
                </c:pt>
                <c:pt idx="17">
                  <c:v>-122</c:v>
                </c:pt>
                <c:pt idx="18">
                  <c:v>-51</c:v>
                </c:pt>
              </c:numCache>
            </c:numRef>
          </c:val>
        </c:ser>
        <c:gapWidth val="202"/>
        <c:overlap val="100"/>
        <c:axId val="70737280"/>
        <c:axId val="70778240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Elec!$F$7:$F$25</c:f>
              <c:numCache>
                <c:formatCode>General</c:formatCode>
                <c:ptCount val="19"/>
                <c:pt idx="0">
                  <c:v>964</c:v>
                </c:pt>
                <c:pt idx="1">
                  <c:v>813</c:v>
                </c:pt>
                <c:pt idx="2">
                  <c:v>468</c:v>
                </c:pt>
                <c:pt idx="3">
                  <c:v>255</c:v>
                </c:pt>
                <c:pt idx="4">
                  <c:v>75</c:v>
                </c:pt>
                <c:pt idx="5">
                  <c:v>0</c:v>
                </c:pt>
                <c:pt idx="6">
                  <c:v>2</c:v>
                </c:pt>
                <c:pt idx="7">
                  <c:v>57</c:v>
                </c:pt>
                <c:pt idx="8">
                  <c:v>267</c:v>
                </c:pt>
                <c:pt idx="9">
                  <c:v>449</c:v>
                </c:pt>
                <c:pt idx="10">
                  <c:v>764</c:v>
                </c:pt>
                <c:pt idx="11">
                  <c:v>959</c:v>
                </c:pt>
                <c:pt idx="12">
                  <c:v>801</c:v>
                </c:pt>
                <c:pt idx="13">
                  <c:v>608</c:v>
                </c:pt>
                <c:pt idx="14">
                  <c:v>398</c:v>
                </c:pt>
                <c:pt idx="15">
                  <c:v>204</c:v>
                </c:pt>
                <c:pt idx="16">
                  <c:v>94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</c:ser>
        <c:marker val="1"/>
        <c:axId val="70737280"/>
        <c:axId val="70778240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Elec!$G$7:$G$25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50</c:v>
                </c:pt>
                <c:pt idx="4">
                  <c:v>130</c:v>
                </c:pt>
                <c:pt idx="5">
                  <c:v>374</c:v>
                </c:pt>
                <c:pt idx="6">
                  <c:v>260</c:v>
                </c:pt>
                <c:pt idx="7">
                  <c:v>115</c:v>
                </c:pt>
                <c:pt idx="8">
                  <c:v>29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18</c:v>
                </c:pt>
                <c:pt idx="14">
                  <c:v>25</c:v>
                </c:pt>
                <c:pt idx="15">
                  <c:v>42</c:v>
                </c:pt>
                <c:pt idx="16">
                  <c:v>142</c:v>
                </c:pt>
                <c:pt idx="17">
                  <c:v>304</c:v>
                </c:pt>
                <c:pt idx="18">
                  <c:v>293</c:v>
                </c:pt>
              </c:numCache>
            </c:numRef>
          </c:val>
        </c:ser>
        <c:marker val="1"/>
        <c:axId val="71334528"/>
        <c:axId val="71266688"/>
      </c:lineChart>
      <c:dateAx>
        <c:axId val="70737280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70778240"/>
        <c:crosses val="autoZero"/>
        <c:auto val="1"/>
        <c:lblOffset val="100"/>
      </c:dateAx>
      <c:valAx>
        <c:axId val="707782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0" sourceLinked="1"/>
        <c:tickLblPos val="nextTo"/>
        <c:crossAx val="70737280"/>
        <c:crosses val="autoZero"/>
        <c:crossBetween val="between"/>
        <c:majorUnit val="200"/>
      </c:valAx>
      <c:valAx>
        <c:axId val="7126668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71334528"/>
        <c:crosses val="max"/>
        <c:crossBetween val="between"/>
        <c:majorUnit val="20"/>
      </c:valAx>
      <c:dateAx>
        <c:axId val="71334528"/>
        <c:scaling>
          <c:orientation val="minMax"/>
        </c:scaling>
        <c:delete val="1"/>
        <c:axPos val="b"/>
        <c:numFmt formatCode="mmm-yy" sourceLinked="1"/>
        <c:tickLblPos val="none"/>
        <c:crossAx val="7126668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51"/>
          <c:y val="0.82399778974995963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43285214348206"/>
          <c:y val="5.1400554097404488E-2"/>
          <c:w val="0.74452318460192457"/>
          <c:h val="0.63597878390201223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Use'!$J$17:$J$28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Use'!$AC$17:$AC$28</c:f>
              <c:numCache>
                <c:formatCode>0.00</c:formatCode>
                <c:ptCount val="12"/>
                <c:pt idx="0">
                  <c:v>9.2056201249999994</c:v>
                </c:pt>
                <c:pt idx="1">
                  <c:v>10.117058985</c:v>
                </c:pt>
                <c:pt idx="2">
                  <c:v>9.5158682649999999</c:v>
                </c:pt>
                <c:pt idx="3">
                  <c:v>12.493696585799999</c:v>
                </c:pt>
                <c:pt idx="4">
                  <c:v>13.7106692834</c:v>
                </c:pt>
                <c:pt idx="5">
                  <c:v>23.128872274999999</c:v>
                </c:pt>
                <c:pt idx="6">
                  <c:v>16.556113611000001</c:v>
                </c:pt>
                <c:pt idx="7">
                  <c:v>16.3890808198</c:v>
                </c:pt>
                <c:pt idx="8">
                  <c:v>12.9951883598</c:v>
                </c:pt>
                <c:pt idx="9">
                  <c:v>11.863823399800001</c:v>
                </c:pt>
                <c:pt idx="10">
                  <c:v>9.2329879850000012</c:v>
                </c:pt>
                <c:pt idx="11">
                  <c:v>8.4865833449999997</c:v>
                </c:pt>
              </c:numCache>
            </c:numRef>
          </c:val>
        </c:ser>
        <c:ser>
          <c:idx val="3"/>
          <c:order val="3"/>
          <c:tx>
            <c:v>Source MMBtu w on-site gen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'Energy Use'!$AD$17:$AD$28</c:f>
              <c:numCache>
                <c:formatCode>0.00</c:formatCode>
                <c:ptCount val="12"/>
                <c:pt idx="0">
                  <c:v>8.9181090049999998</c:v>
                </c:pt>
                <c:pt idx="1">
                  <c:v>9.6618330449999998</c:v>
                </c:pt>
                <c:pt idx="2">
                  <c:v>8.8609818249999996</c:v>
                </c:pt>
                <c:pt idx="3">
                  <c:v>10.071894584999999</c:v>
                </c:pt>
                <c:pt idx="4">
                  <c:v>8.5393026049999996</c:v>
                </c:pt>
                <c:pt idx="5">
                  <c:v>18.348999904999999</c:v>
                </c:pt>
                <c:pt idx="6">
                  <c:v>13.415054625</c:v>
                </c:pt>
                <c:pt idx="7">
                  <c:v>14.073498205</c:v>
                </c:pt>
                <c:pt idx="8">
                  <c:v>10.679605745</c:v>
                </c:pt>
                <c:pt idx="9">
                  <c:v>9.5482407850000008</c:v>
                </c:pt>
                <c:pt idx="10">
                  <c:v>8.2586447449999998</c:v>
                </c:pt>
                <c:pt idx="11">
                  <c:v>8.0792759249999992</c:v>
                </c:pt>
              </c:numCache>
            </c:numRef>
          </c:val>
        </c:ser>
        <c:axId val="73922048"/>
        <c:axId val="73923968"/>
      </c:barChart>
      <c:lineChart>
        <c:grouping val="standard"/>
        <c:ser>
          <c:idx val="1"/>
          <c:order val="1"/>
          <c:tx>
            <c:v>HDD</c:v>
          </c:tx>
          <c:cat>
            <c:numRef>
              <c:f>'Energy Use'!$J$17:$J$28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HDD!$B$30:$B$41</c:f>
              <c:numCache>
                <c:formatCode>General</c:formatCode>
                <c:ptCount val="12"/>
                <c:pt idx="0">
                  <c:v>2</c:v>
                </c:pt>
                <c:pt idx="1">
                  <c:v>57</c:v>
                </c:pt>
                <c:pt idx="2">
                  <c:v>267</c:v>
                </c:pt>
                <c:pt idx="3">
                  <c:v>449</c:v>
                </c:pt>
                <c:pt idx="4">
                  <c:v>764</c:v>
                </c:pt>
                <c:pt idx="5">
                  <c:v>959</c:v>
                </c:pt>
                <c:pt idx="6">
                  <c:v>801</c:v>
                </c:pt>
                <c:pt idx="7">
                  <c:v>608</c:v>
                </c:pt>
                <c:pt idx="8">
                  <c:v>398</c:v>
                </c:pt>
                <c:pt idx="9">
                  <c:v>204</c:v>
                </c:pt>
                <c:pt idx="10">
                  <c:v>94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'Energy Use'!$J$17:$J$28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CDD!$B$20:$B$31</c:f>
              <c:numCache>
                <c:formatCode>General</c:formatCode>
                <c:ptCount val="12"/>
                <c:pt idx="0">
                  <c:v>260</c:v>
                </c:pt>
                <c:pt idx="1">
                  <c:v>115</c:v>
                </c:pt>
                <c:pt idx="2">
                  <c:v>29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  <c:pt idx="8">
                  <c:v>25</c:v>
                </c:pt>
                <c:pt idx="9">
                  <c:v>42</c:v>
                </c:pt>
                <c:pt idx="10">
                  <c:v>142</c:v>
                </c:pt>
                <c:pt idx="11">
                  <c:v>304</c:v>
                </c:pt>
              </c:numCache>
            </c:numRef>
          </c:val>
        </c:ser>
        <c:marker val="1"/>
        <c:axId val="129260544"/>
        <c:axId val="129259008"/>
      </c:lineChart>
      <c:dateAx>
        <c:axId val="73922048"/>
        <c:scaling>
          <c:orientation val="minMax"/>
        </c:scaling>
        <c:axPos val="b"/>
        <c:numFmt formatCode="mmm-yy" sourceLinked="1"/>
        <c:tickLblPos val="nextTo"/>
        <c:crossAx val="73923968"/>
        <c:crosses val="autoZero"/>
        <c:auto val="1"/>
        <c:lblOffset val="100"/>
      </c:dateAx>
      <c:valAx>
        <c:axId val="73923968"/>
        <c:scaling>
          <c:orientation val="minMax"/>
        </c:scaling>
        <c:axPos val="l"/>
        <c:majorGridlines/>
        <c:numFmt formatCode="0" sourceLinked="0"/>
        <c:tickLblPos val="nextTo"/>
        <c:crossAx val="73922048"/>
        <c:crosses val="autoZero"/>
        <c:crossBetween val="between"/>
      </c:valAx>
      <c:valAx>
        <c:axId val="129259008"/>
        <c:scaling>
          <c:orientation val="minMax"/>
        </c:scaling>
        <c:axPos val="r"/>
        <c:numFmt formatCode="General" sourceLinked="1"/>
        <c:tickLblPos val="nextTo"/>
        <c:crossAx val="129260544"/>
        <c:crosses val="max"/>
        <c:crossBetween val="between"/>
      </c:valAx>
      <c:dateAx>
        <c:axId val="129260544"/>
        <c:scaling>
          <c:orientation val="minMax"/>
        </c:scaling>
        <c:delete val="1"/>
        <c:axPos val="b"/>
        <c:numFmt formatCode="mmm-yy" sourceLinked="1"/>
        <c:tickLblPos val="none"/>
        <c:crossAx val="129259008"/>
        <c:crosses val="autoZero"/>
        <c:auto val="1"/>
        <c:lblOffset val="100"/>
      </c:dateAx>
    </c:plotArea>
    <c:legend>
      <c:legendPos val="b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2</c:v>
                </c:pt>
                <c:pt idx="1">
                  <c:v>57</c:v>
                </c:pt>
                <c:pt idx="2">
                  <c:v>267</c:v>
                </c:pt>
                <c:pt idx="3">
                  <c:v>449</c:v>
                </c:pt>
                <c:pt idx="4">
                  <c:v>764</c:v>
                </c:pt>
                <c:pt idx="5">
                  <c:v>959</c:v>
                </c:pt>
                <c:pt idx="6">
                  <c:v>801</c:v>
                </c:pt>
                <c:pt idx="7">
                  <c:v>608</c:v>
                </c:pt>
                <c:pt idx="8">
                  <c:v>398</c:v>
                </c:pt>
                <c:pt idx="9">
                  <c:v>204</c:v>
                </c:pt>
                <c:pt idx="10">
                  <c:v>94</c:v>
                </c:pt>
                <c:pt idx="11">
                  <c:v>2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2.6</c:v>
                </c:pt>
                <c:pt idx="1">
                  <c:v>4.2</c:v>
                </c:pt>
                <c:pt idx="2">
                  <c:v>3.8000000000000003</c:v>
                </c:pt>
                <c:pt idx="3">
                  <c:v>6.5</c:v>
                </c:pt>
                <c:pt idx="4">
                  <c:v>7.3000000000000007</c:v>
                </c:pt>
                <c:pt idx="5">
                  <c:v>15</c:v>
                </c:pt>
                <c:pt idx="6">
                  <c:v>11</c:v>
                </c:pt>
                <c:pt idx="7">
                  <c:v>10.3</c:v>
                </c:pt>
                <c:pt idx="8">
                  <c:v>7.2</c:v>
                </c:pt>
                <c:pt idx="9">
                  <c:v>4.9000000000000004</c:v>
                </c:pt>
                <c:pt idx="10">
                  <c:v>3.9000000000000004</c:v>
                </c:pt>
                <c:pt idx="11">
                  <c:v>3.1</c:v>
                </c:pt>
              </c:numCache>
            </c:numRef>
          </c:yVal>
        </c:ser>
        <c:axId val="69512192"/>
        <c:axId val="70263552"/>
      </c:scatterChart>
      <c:valAx>
        <c:axId val="69512192"/>
        <c:scaling>
          <c:orientation val="minMax"/>
        </c:scaling>
        <c:axPos val="b"/>
        <c:numFmt formatCode="General" sourceLinked="1"/>
        <c:tickLblPos val="nextTo"/>
        <c:crossAx val="70263552"/>
        <c:crosses val="autoZero"/>
        <c:crossBetween val="midCat"/>
      </c:valAx>
      <c:valAx>
        <c:axId val="70263552"/>
        <c:scaling>
          <c:orientation val="minMax"/>
        </c:scaling>
        <c:axPos val="l"/>
        <c:majorGridlines/>
        <c:numFmt formatCode="0.00" sourceLinked="1"/>
        <c:tickLblPos val="nextTo"/>
        <c:crossAx val="69512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50</xdr:row>
      <xdr:rowOff>104775</xdr:rowOff>
    </xdr:from>
    <xdr:to>
      <xdr:col>21</xdr:col>
      <xdr:colOff>257175</xdr:colOff>
      <xdr:row>64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175260</xdr:rowOff>
    </xdr:from>
    <xdr:to>
      <xdr:col>18</xdr:col>
      <xdr:colOff>213360</xdr:colOff>
      <xdr:row>21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22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43</xdr:row>
      <xdr:rowOff>0</xdr:rowOff>
    </xdr:from>
    <xdr:to>
      <xdr:col>17</xdr:col>
      <xdr:colOff>304800</xdr:colOff>
      <xdr:row>57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4.37445E-7</cdr:x>
      <cdr:y>0</cdr:y>
    </cdr:from>
    <cdr:to>
      <cdr:x>0.05417</cdr:x>
      <cdr:y>0.73611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885822" y="885824"/>
          <a:ext cx="2019300" cy="24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 (monthly)</a:t>
          </a:r>
        </a:p>
      </cdr:txBody>
    </cdr:sp>
  </cdr:relSizeAnchor>
  <cdr:relSizeAnchor xmlns:cdr="http://schemas.openxmlformats.org/drawingml/2006/chartDrawing">
    <cdr:from>
      <cdr:x>0.92917</cdr:x>
      <cdr:y>0</cdr:y>
    </cdr:from>
    <cdr:to>
      <cdr:x>0.98958</cdr:x>
      <cdr:y>0.42708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800477" y="447675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21</xdr:row>
      <xdr:rowOff>19050</xdr:rowOff>
    </xdr:from>
    <xdr:to>
      <xdr:col>10</xdr:col>
      <xdr:colOff>200025</xdr:colOff>
      <xdr:row>35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68"/>
  <sheetViews>
    <sheetView topLeftCell="A9" workbookViewId="0">
      <selection activeCell="I36" sqref="I36"/>
    </sheetView>
  </sheetViews>
  <sheetFormatPr defaultRowHeight="15"/>
  <cols>
    <col min="1" max="7" width="9.140625" style="13"/>
    <col min="8" max="8" width="10.140625" style="13" customWidth="1"/>
    <col min="9" max="9" width="11.140625" style="13" customWidth="1"/>
    <col min="10" max="10" width="10.42578125" style="13" bestFit="1" customWidth="1"/>
    <col min="11" max="11" width="9.140625" style="13"/>
    <col min="12" max="13" width="11" style="13" customWidth="1"/>
    <col min="14" max="14" width="12.5703125" style="13" bestFit="1" customWidth="1"/>
    <col min="15" max="20" width="9.140625" style="13"/>
    <col min="21" max="21" width="11.140625" style="13" customWidth="1"/>
    <col min="22" max="22" width="13.140625" style="13" customWidth="1"/>
    <col min="23" max="23" width="14.42578125" style="13" customWidth="1"/>
    <col min="24" max="16384" width="9.140625" style="13"/>
  </cols>
  <sheetData>
    <row r="2" spans="1:28">
      <c r="C2" s="13" t="s">
        <v>25</v>
      </c>
      <c r="E2" s="22">
        <f>1/E4</f>
        <v>292.99736302373282</v>
      </c>
      <c r="F2" s="22"/>
    </row>
    <row r="3" spans="1:28">
      <c r="C3" s="13" t="s">
        <v>22</v>
      </c>
      <c r="E3" s="20">
        <f>100000/1000000</f>
        <v>0.1</v>
      </c>
      <c r="F3" s="20"/>
    </row>
    <row r="4" spans="1:28">
      <c r="C4" s="13" t="s">
        <v>21</v>
      </c>
      <c r="E4" s="13">
        <f>3413/1000000</f>
        <v>3.4129999999999998E-3</v>
      </c>
    </row>
    <row r="5" spans="1:28">
      <c r="B5" s="13" t="s">
        <v>24</v>
      </c>
      <c r="E5" s="13">
        <v>3.34</v>
      </c>
    </row>
    <row r="6" spans="1:28">
      <c r="B6" s="13" t="s">
        <v>23</v>
      </c>
      <c r="E6" s="13">
        <v>1.0469999999999999</v>
      </c>
    </row>
    <row r="8" spans="1:28">
      <c r="H8" s="13" t="s">
        <v>50</v>
      </c>
    </row>
    <row r="9" spans="1:28">
      <c r="A9" s="26" t="s">
        <v>32</v>
      </c>
      <c r="B9" s="27"/>
      <c r="C9" s="27"/>
      <c r="D9" s="27"/>
      <c r="E9" s="28"/>
      <c r="F9" s="30"/>
      <c r="H9" s="8"/>
      <c r="J9" s="13" t="s">
        <v>51</v>
      </c>
      <c r="O9" s="13" t="s">
        <v>67</v>
      </c>
      <c r="U9" s="36">
        <v>39770</v>
      </c>
      <c r="V9" s="36">
        <v>39799</v>
      </c>
      <c r="W9" s="37">
        <v>29</v>
      </c>
      <c r="X9" s="37">
        <v>3</v>
      </c>
      <c r="Y9" s="36">
        <v>39770</v>
      </c>
      <c r="Z9" s="36">
        <v>39799</v>
      </c>
      <c r="AA9" s="37">
        <v>29</v>
      </c>
      <c r="AB9" s="37">
        <v>252</v>
      </c>
    </row>
    <row r="10" spans="1:28">
      <c r="A10" s="29"/>
      <c r="B10" s="30" t="s">
        <v>49</v>
      </c>
      <c r="C10" s="30" t="s">
        <v>36</v>
      </c>
      <c r="D10" s="30" t="s">
        <v>48</v>
      </c>
      <c r="E10" s="31" t="s">
        <v>34</v>
      </c>
      <c r="F10" s="8" t="s">
        <v>18</v>
      </c>
      <c r="G10" s="8" t="s">
        <v>62</v>
      </c>
      <c r="H10" s="8" t="s">
        <v>66</v>
      </c>
      <c r="I10" s="8" t="s">
        <v>65</v>
      </c>
      <c r="K10" s="13" t="s">
        <v>52</v>
      </c>
      <c r="L10" s="13" t="s">
        <v>44</v>
      </c>
      <c r="M10" s="13" t="s">
        <v>57</v>
      </c>
      <c r="N10" s="13" t="s">
        <v>27</v>
      </c>
      <c r="O10" s="13" t="s">
        <v>17</v>
      </c>
      <c r="P10" s="13" t="s">
        <v>61</v>
      </c>
      <c r="Q10" s="13" t="s">
        <v>18</v>
      </c>
      <c r="R10" s="13" t="s">
        <v>62</v>
      </c>
      <c r="T10" s="13" t="s">
        <v>1</v>
      </c>
      <c r="U10" s="36">
        <v>39799</v>
      </c>
      <c r="V10" s="36">
        <v>39834</v>
      </c>
      <c r="W10" s="37">
        <v>35</v>
      </c>
      <c r="X10" s="37">
        <v>4</v>
      </c>
      <c r="Y10" s="36">
        <v>39799</v>
      </c>
      <c r="Z10" s="36">
        <v>39834</v>
      </c>
      <c r="AA10" s="37">
        <v>35</v>
      </c>
      <c r="AB10" s="37">
        <v>392</v>
      </c>
    </row>
    <row r="11" spans="1:28">
      <c r="A11" s="32">
        <v>40026</v>
      </c>
      <c r="B11" s="30">
        <v>3</v>
      </c>
      <c r="C11" s="30">
        <v>30</v>
      </c>
      <c r="D11" s="30">
        <f>B11</f>
        <v>3</v>
      </c>
      <c r="E11" s="31">
        <f t="shared" ref="E11:E27" si="0">B11+C11+D11</f>
        <v>36</v>
      </c>
      <c r="F11" s="30">
        <f>E11*$E$3</f>
        <v>3.6</v>
      </c>
      <c r="G11" s="22">
        <f>F11*$E$6</f>
        <v>3.7691999999999997</v>
      </c>
      <c r="H11" s="22">
        <f>F11*$E$2</f>
        <v>1054.7905068854382</v>
      </c>
      <c r="I11" s="22">
        <f>H11*$E$6</f>
        <v>1104.3656607090536</v>
      </c>
      <c r="J11" s="32">
        <v>40026</v>
      </c>
      <c r="K11" s="13">
        <v>170</v>
      </c>
      <c r="L11" s="13">
        <v>500</v>
      </c>
      <c r="N11" s="13">
        <f>K11+L11</f>
        <v>670</v>
      </c>
      <c r="O11" s="13">
        <f>N11+L23+M23</f>
        <v>706</v>
      </c>
      <c r="P11" s="22">
        <f>O11*$E$5</f>
        <v>2358.04</v>
      </c>
      <c r="Q11" s="22">
        <f>O11*$E$4</f>
        <v>2.4095779999999998</v>
      </c>
      <c r="R11" s="22">
        <f>Q11*$E$5</f>
        <v>8.047990519999999</v>
      </c>
      <c r="T11" s="13">
        <v>0</v>
      </c>
      <c r="U11" s="36">
        <v>39834</v>
      </c>
      <c r="V11" s="36">
        <v>39863</v>
      </c>
      <c r="W11" s="37">
        <v>29</v>
      </c>
      <c r="X11" s="37">
        <v>4</v>
      </c>
      <c r="Y11" s="36">
        <v>39834</v>
      </c>
      <c r="Z11" s="36">
        <v>39863</v>
      </c>
      <c r="AA11" s="37">
        <v>29</v>
      </c>
      <c r="AB11" s="37">
        <v>307</v>
      </c>
    </row>
    <row r="12" spans="1:28">
      <c r="A12" s="32">
        <v>40057</v>
      </c>
      <c r="B12" s="30">
        <v>4</v>
      </c>
      <c r="C12" s="30">
        <v>40</v>
      </c>
      <c r="D12" s="30">
        <f t="shared" ref="D12:D26" si="1">B12</f>
        <v>4</v>
      </c>
      <c r="E12" s="31">
        <f t="shared" si="0"/>
        <v>48</v>
      </c>
      <c r="F12" s="30">
        <f t="shared" ref="F12:F26" si="2">E12*$E$3</f>
        <v>4.8000000000000007</v>
      </c>
      <c r="G12" s="22">
        <f t="shared" ref="G12:G26" si="3">F12*$E$6</f>
        <v>5.0256000000000007</v>
      </c>
      <c r="H12" s="22">
        <f t="shared" ref="H12:H26" si="4">F12*$E$2</f>
        <v>1406.3873425139177</v>
      </c>
      <c r="I12" s="22">
        <f t="shared" ref="I12:I26" si="5">H12*$E$6</f>
        <v>1472.4875476120717</v>
      </c>
      <c r="J12" s="32">
        <v>40057</v>
      </c>
      <c r="L12" s="13">
        <v>482</v>
      </c>
      <c r="N12" s="13">
        <f t="shared" ref="N12:N22" si="6">K12+L12</f>
        <v>482</v>
      </c>
      <c r="O12" s="13">
        <f t="shared" ref="O12:O17" si="7">N12+L24+M24</f>
        <v>539</v>
      </c>
      <c r="P12" s="22">
        <f t="shared" ref="P12:P22" si="8">O12*$E$5</f>
        <v>1800.26</v>
      </c>
      <c r="Q12" s="22">
        <f t="shared" ref="Q12:Q22" si="9">O12*$E$4</f>
        <v>1.839607</v>
      </c>
      <c r="R12" s="22">
        <f t="shared" ref="R12:R22" si="10">Q12*$E$5</f>
        <v>6.1442873799999997</v>
      </c>
      <c r="T12" s="13">
        <v>0</v>
      </c>
      <c r="U12" s="36">
        <v>39863</v>
      </c>
      <c r="V12" s="36">
        <v>39890</v>
      </c>
      <c r="W12" s="37">
        <v>27</v>
      </c>
      <c r="X12" s="37">
        <v>3</v>
      </c>
      <c r="Y12" s="36">
        <v>39863</v>
      </c>
      <c r="Z12" s="36">
        <v>39890</v>
      </c>
      <c r="AA12" s="37">
        <v>27</v>
      </c>
      <c r="AB12" s="37">
        <v>245</v>
      </c>
    </row>
    <row r="13" spans="1:28">
      <c r="A13" s="32">
        <v>40087</v>
      </c>
      <c r="B13" s="30">
        <v>4</v>
      </c>
      <c r="C13" s="30">
        <v>87</v>
      </c>
      <c r="D13" s="30">
        <f t="shared" si="1"/>
        <v>4</v>
      </c>
      <c r="E13" s="31">
        <f t="shared" si="0"/>
        <v>95</v>
      </c>
      <c r="F13" s="30">
        <f t="shared" si="2"/>
        <v>9.5</v>
      </c>
      <c r="G13" s="22">
        <f t="shared" si="3"/>
        <v>9.9464999999999986</v>
      </c>
      <c r="H13" s="22">
        <f t="shared" si="4"/>
        <v>2783.4749487254617</v>
      </c>
      <c r="I13" s="22">
        <f t="shared" si="5"/>
        <v>2914.2982713155584</v>
      </c>
      <c r="J13" s="32">
        <v>40087</v>
      </c>
      <c r="L13" s="13">
        <v>362</v>
      </c>
      <c r="N13" s="13">
        <f t="shared" si="6"/>
        <v>362</v>
      </c>
      <c r="O13" s="13">
        <f t="shared" si="7"/>
        <v>444</v>
      </c>
      <c r="P13" s="22">
        <f t="shared" si="8"/>
        <v>1482.96</v>
      </c>
      <c r="Q13" s="22">
        <f t="shared" si="9"/>
        <v>1.5153719999999999</v>
      </c>
      <c r="R13" s="22">
        <f t="shared" si="10"/>
        <v>5.0613424799999995</v>
      </c>
      <c r="T13" s="13">
        <f>HDD!B8</f>
        <v>412</v>
      </c>
      <c r="U13" s="36">
        <v>39890</v>
      </c>
      <c r="V13" s="36">
        <v>39920</v>
      </c>
      <c r="W13" s="37">
        <v>30</v>
      </c>
      <c r="X13" s="37">
        <v>3</v>
      </c>
      <c r="Y13" s="36">
        <v>39890</v>
      </c>
      <c r="Z13" s="36">
        <v>39920</v>
      </c>
      <c r="AA13" s="37">
        <v>30</v>
      </c>
      <c r="AB13" s="37">
        <v>186</v>
      </c>
    </row>
    <row r="14" spans="1:28">
      <c r="A14" s="32">
        <v>40118</v>
      </c>
      <c r="B14" s="30">
        <v>4</v>
      </c>
      <c r="C14" s="30">
        <v>127</v>
      </c>
      <c r="D14" s="30">
        <f t="shared" si="1"/>
        <v>4</v>
      </c>
      <c r="E14" s="31">
        <f t="shared" si="0"/>
        <v>135</v>
      </c>
      <c r="F14" s="30">
        <f t="shared" si="2"/>
        <v>13.5</v>
      </c>
      <c r="G14" s="22">
        <f t="shared" si="3"/>
        <v>14.134499999999999</v>
      </c>
      <c r="H14" s="22">
        <f t="shared" si="4"/>
        <v>3955.4644008203932</v>
      </c>
      <c r="I14" s="22">
        <f t="shared" si="5"/>
        <v>4141.3712276589513</v>
      </c>
      <c r="J14" s="32">
        <v>40118</v>
      </c>
      <c r="L14" s="13">
        <v>267</v>
      </c>
      <c r="N14" s="13">
        <f t="shared" si="6"/>
        <v>267</v>
      </c>
      <c r="O14" s="13">
        <f t="shared" si="7"/>
        <v>532</v>
      </c>
      <c r="P14" s="22">
        <f t="shared" si="8"/>
        <v>1776.8799999999999</v>
      </c>
      <c r="Q14" s="22">
        <f t="shared" si="9"/>
        <v>1.8157159999999999</v>
      </c>
      <c r="R14" s="22">
        <f t="shared" si="10"/>
        <v>6.0644914399999994</v>
      </c>
      <c r="T14" s="13">
        <f>HDD!B9</f>
        <v>485</v>
      </c>
      <c r="U14" s="36">
        <v>39920</v>
      </c>
      <c r="V14" s="36">
        <v>39953</v>
      </c>
      <c r="W14" s="37">
        <v>33</v>
      </c>
      <c r="X14" s="37">
        <v>4</v>
      </c>
      <c r="Y14" s="36">
        <v>39920</v>
      </c>
      <c r="Z14" s="36">
        <v>39953</v>
      </c>
      <c r="AA14" s="37">
        <v>33</v>
      </c>
      <c r="AB14" s="37">
        <v>86</v>
      </c>
    </row>
    <row r="15" spans="1:28">
      <c r="A15" s="32">
        <v>40148</v>
      </c>
      <c r="B15" s="8">
        <v>3</v>
      </c>
      <c r="C15" s="30">
        <v>222</v>
      </c>
      <c r="D15" s="30">
        <f t="shared" si="1"/>
        <v>3</v>
      </c>
      <c r="E15" s="31">
        <f t="shared" si="0"/>
        <v>228</v>
      </c>
      <c r="F15" s="30">
        <f t="shared" si="2"/>
        <v>22.8</v>
      </c>
      <c r="G15" s="22">
        <f t="shared" si="3"/>
        <v>23.871600000000001</v>
      </c>
      <c r="H15" s="22">
        <f t="shared" si="4"/>
        <v>6680.3398769411087</v>
      </c>
      <c r="I15" s="22">
        <f t="shared" si="5"/>
        <v>6994.3158511573401</v>
      </c>
      <c r="J15" s="32">
        <v>40148</v>
      </c>
      <c r="L15" s="13">
        <v>154</v>
      </c>
      <c r="N15" s="13">
        <f t="shared" si="6"/>
        <v>154</v>
      </c>
      <c r="O15" s="13">
        <f t="shared" si="7"/>
        <v>766</v>
      </c>
      <c r="P15" s="22">
        <f t="shared" si="8"/>
        <v>2558.44</v>
      </c>
      <c r="Q15" s="22">
        <f t="shared" si="9"/>
        <v>2.6143579999999997</v>
      </c>
      <c r="R15" s="22">
        <f t="shared" si="10"/>
        <v>8.7319557199999984</v>
      </c>
      <c r="T15" s="13">
        <f>HDD!B10</f>
        <v>988</v>
      </c>
      <c r="U15" s="36">
        <v>39953</v>
      </c>
      <c r="V15" s="36">
        <v>39982</v>
      </c>
      <c r="W15" s="37">
        <v>29</v>
      </c>
      <c r="X15" s="37">
        <v>3</v>
      </c>
      <c r="Y15" s="36">
        <v>39953</v>
      </c>
      <c r="Z15" s="36">
        <v>39982</v>
      </c>
      <c r="AA15" s="37">
        <v>29</v>
      </c>
      <c r="AB15" s="37">
        <v>43</v>
      </c>
    </row>
    <row r="16" spans="1:28">
      <c r="A16" s="32">
        <v>40179</v>
      </c>
      <c r="B16" s="8">
        <v>5</v>
      </c>
      <c r="C16" s="30">
        <v>367</v>
      </c>
      <c r="D16" s="30">
        <f t="shared" si="1"/>
        <v>5</v>
      </c>
      <c r="E16" s="31">
        <f t="shared" si="0"/>
        <v>377</v>
      </c>
      <c r="F16" s="30">
        <f t="shared" si="2"/>
        <v>37.700000000000003</v>
      </c>
      <c r="G16" s="22">
        <f t="shared" si="3"/>
        <v>39.471899999999998</v>
      </c>
      <c r="H16" s="22">
        <f t="shared" si="4"/>
        <v>11046.000585994729</v>
      </c>
      <c r="I16" s="22">
        <f t="shared" si="5"/>
        <v>11565.16261353648</v>
      </c>
      <c r="J16" s="32">
        <v>40179</v>
      </c>
      <c r="L16" s="13">
        <v>334</v>
      </c>
      <c r="N16" s="13">
        <f t="shared" si="6"/>
        <v>334</v>
      </c>
      <c r="O16" s="13">
        <f t="shared" si="7"/>
        <v>1053</v>
      </c>
      <c r="P16" s="22">
        <f t="shared" si="8"/>
        <v>3517.02</v>
      </c>
      <c r="Q16" s="22">
        <f t="shared" si="9"/>
        <v>3.5938889999999999</v>
      </c>
      <c r="R16" s="22">
        <f t="shared" si="10"/>
        <v>12.003589259999998</v>
      </c>
      <c r="T16" s="13">
        <f>HDD!B11</f>
        <v>1096</v>
      </c>
      <c r="U16" s="36">
        <v>39982</v>
      </c>
      <c r="V16" s="36">
        <v>40016</v>
      </c>
      <c r="W16" s="37">
        <v>34</v>
      </c>
      <c r="X16" s="37">
        <v>4</v>
      </c>
      <c r="Y16" s="36">
        <v>39982</v>
      </c>
      <c r="Z16" s="36">
        <v>40016</v>
      </c>
      <c r="AA16" s="37">
        <v>34</v>
      </c>
      <c r="AB16" s="37">
        <v>45</v>
      </c>
    </row>
    <row r="17" spans="1:28">
      <c r="A17" s="32">
        <v>40210</v>
      </c>
      <c r="B17" s="8">
        <v>3</v>
      </c>
      <c r="C17" s="30">
        <v>296</v>
      </c>
      <c r="D17" s="30">
        <f t="shared" si="1"/>
        <v>3</v>
      </c>
      <c r="E17" s="31">
        <f t="shared" si="0"/>
        <v>302</v>
      </c>
      <c r="F17" s="30">
        <f t="shared" si="2"/>
        <v>30.200000000000003</v>
      </c>
      <c r="G17" s="22">
        <f t="shared" si="3"/>
        <v>31.619400000000002</v>
      </c>
      <c r="H17" s="22">
        <f t="shared" si="4"/>
        <v>8848.5203633167312</v>
      </c>
      <c r="I17" s="22">
        <f t="shared" si="5"/>
        <v>9264.4008203926169</v>
      </c>
      <c r="J17" s="32">
        <v>40210</v>
      </c>
      <c r="L17" s="13">
        <v>229</v>
      </c>
      <c r="N17" s="13">
        <f t="shared" si="6"/>
        <v>229</v>
      </c>
      <c r="O17" s="13">
        <f t="shared" si="7"/>
        <v>799</v>
      </c>
      <c r="P17" s="22">
        <f t="shared" si="8"/>
        <v>2668.66</v>
      </c>
      <c r="Q17" s="22">
        <f t="shared" si="9"/>
        <v>2.7269869999999998</v>
      </c>
      <c r="R17" s="22">
        <f t="shared" si="10"/>
        <v>9.1081365799999983</v>
      </c>
      <c r="T17" s="13">
        <f>HDD!B12</f>
        <v>901</v>
      </c>
      <c r="U17" s="36">
        <v>40016</v>
      </c>
      <c r="V17" s="36">
        <v>40044</v>
      </c>
      <c r="W17" s="37">
        <v>28</v>
      </c>
      <c r="X17" s="37">
        <v>3</v>
      </c>
      <c r="Y17" s="36">
        <v>40016</v>
      </c>
      <c r="Z17" s="36">
        <v>40044</v>
      </c>
      <c r="AA17" s="37">
        <v>28</v>
      </c>
      <c r="AB17" s="37">
        <v>30</v>
      </c>
    </row>
    <row r="18" spans="1:28">
      <c r="A18" s="32">
        <v>40238</v>
      </c>
      <c r="B18" s="8">
        <v>4</v>
      </c>
      <c r="C18" s="30">
        <v>225</v>
      </c>
      <c r="D18" s="30">
        <f t="shared" si="1"/>
        <v>4</v>
      </c>
      <c r="E18" s="31">
        <f t="shared" si="0"/>
        <v>233</v>
      </c>
      <c r="F18" s="30">
        <f t="shared" si="2"/>
        <v>23.3</v>
      </c>
      <c r="G18" s="22">
        <f t="shared" si="3"/>
        <v>24.395099999999999</v>
      </c>
      <c r="H18" s="22">
        <f t="shared" si="4"/>
        <v>6826.8385584529751</v>
      </c>
      <c r="I18" s="22">
        <f t="shared" si="5"/>
        <v>7147.6999707002642</v>
      </c>
      <c r="J18" s="32">
        <v>40238</v>
      </c>
      <c r="L18" s="13">
        <v>22</v>
      </c>
      <c r="M18" s="13">
        <v>466</v>
      </c>
      <c r="N18" s="13">
        <f t="shared" si="6"/>
        <v>22</v>
      </c>
      <c r="O18" s="13">
        <f>N18+M18</f>
        <v>488</v>
      </c>
      <c r="P18" s="22">
        <f t="shared" si="8"/>
        <v>1629.9199999999998</v>
      </c>
      <c r="Q18" s="22">
        <f t="shared" si="9"/>
        <v>1.6655439999999999</v>
      </c>
      <c r="R18" s="22">
        <f t="shared" si="10"/>
        <v>5.5629169599999999</v>
      </c>
      <c r="T18" s="13">
        <f>HDD!B13</f>
        <v>658</v>
      </c>
      <c r="U18" s="36">
        <v>40044</v>
      </c>
      <c r="V18" s="36">
        <v>40077</v>
      </c>
      <c r="W18" s="37">
        <v>33</v>
      </c>
      <c r="X18" s="37">
        <v>4</v>
      </c>
      <c r="Y18" s="36">
        <v>40044</v>
      </c>
      <c r="Z18" s="36">
        <v>40077</v>
      </c>
      <c r="AA18" s="37">
        <v>33</v>
      </c>
      <c r="AB18" s="37">
        <v>40</v>
      </c>
    </row>
    <row r="19" spans="1:28">
      <c r="A19" s="32">
        <v>40269</v>
      </c>
      <c r="B19" s="8">
        <v>4</v>
      </c>
      <c r="C19" s="30">
        <v>134</v>
      </c>
      <c r="D19" s="30">
        <f t="shared" si="1"/>
        <v>4</v>
      </c>
      <c r="E19" s="31">
        <f t="shared" si="0"/>
        <v>142</v>
      </c>
      <c r="F19" s="30">
        <f t="shared" si="2"/>
        <v>14.200000000000001</v>
      </c>
      <c r="G19" s="22">
        <f t="shared" si="3"/>
        <v>14.8674</v>
      </c>
      <c r="H19" s="22">
        <f t="shared" si="4"/>
        <v>4160.5625549370061</v>
      </c>
      <c r="I19" s="22">
        <f t="shared" si="5"/>
        <v>4356.1089950190453</v>
      </c>
      <c r="J19" s="32">
        <v>40269</v>
      </c>
      <c r="L19" s="13">
        <v>102</v>
      </c>
      <c r="M19" s="13">
        <v>374</v>
      </c>
      <c r="N19" s="13">
        <f t="shared" si="6"/>
        <v>102</v>
      </c>
      <c r="O19" s="13">
        <f t="shared" ref="O19:O22" si="11">N19+M19</f>
        <v>476</v>
      </c>
      <c r="P19" s="22">
        <f t="shared" si="8"/>
        <v>1589.84</v>
      </c>
      <c r="Q19" s="22">
        <f t="shared" si="9"/>
        <v>1.6245879999999999</v>
      </c>
      <c r="R19" s="22">
        <f t="shared" si="10"/>
        <v>5.4261239199999993</v>
      </c>
      <c r="T19" s="13">
        <f>HDD!B14</f>
        <v>385</v>
      </c>
      <c r="U19" s="36">
        <v>40077</v>
      </c>
      <c r="V19" s="36">
        <v>40105</v>
      </c>
      <c r="W19" s="37">
        <v>28</v>
      </c>
      <c r="X19" s="37">
        <v>4</v>
      </c>
      <c r="Y19" s="36">
        <v>40077</v>
      </c>
      <c r="Z19" s="36">
        <v>40105</v>
      </c>
      <c r="AA19" s="37">
        <v>28</v>
      </c>
      <c r="AB19" s="37">
        <v>87</v>
      </c>
    </row>
    <row r="20" spans="1:28">
      <c r="A20" s="32">
        <v>40299</v>
      </c>
      <c r="B20" s="8">
        <v>3</v>
      </c>
      <c r="C20" s="30">
        <v>94</v>
      </c>
      <c r="D20" s="30">
        <f t="shared" si="1"/>
        <v>3</v>
      </c>
      <c r="E20" s="31">
        <f t="shared" si="0"/>
        <v>100</v>
      </c>
      <c r="F20" s="30">
        <f t="shared" si="2"/>
        <v>10</v>
      </c>
      <c r="G20" s="22">
        <f t="shared" si="3"/>
        <v>10.469999999999999</v>
      </c>
      <c r="H20" s="22">
        <f t="shared" si="4"/>
        <v>2929.9736302373281</v>
      </c>
      <c r="I20" s="22">
        <f t="shared" si="5"/>
        <v>3067.6823908584824</v>
      </c>
      <c r="J20" s="32">
        <v>40299</v>
      </c>
      <c r="L20" s="13">
        <v>217</v>
      </c>
      <c r="M20" s="13">
        <v>253</v>
      </c>
      <c r="N20" s="13">
        <f t="shared" si="6"/>
        <v>217</v>
      </c>
      <c r="O20" s="13">
        <f t="shared" si="11"/>
        <v>470</v>
      </c>
      <c r="P20" s="22">
        <f t="shared" si="8"/>
        <v>1569.8</v>
      </c>
      <c r="Q20" s="22">
        <f t="shared" si="9"/>
        <v>1.6041099999999999</v>
      </c>
      <c r="R20" s="22">
        <f t="shared" si="10"/>
        <v>5.3577273999999999</v>
      </c>
      <c r="T20" s="13">
        <f>HDD!B15</f>
        <v>172</v>
      </c>
      <c r="U20" s="36">
        <v>40105</v>
      </c>
      <c r="V20" s="36">
        <v>40135</v>
      </c>
      <c r="W20" s="37">
        <v>30</v>
      </c>
      <c r="X20" s="37">
        <v>4</v>
      </c>
      <c r="Y20" s="36">
        <v>40105</v>
      </c>
      <c r="Z20" s="36">
        <v>40135</v>
      </c>
      <c r="AA20" s="37">
        <v>30</v>
      </c>
      <c r="AB20" s="37">
        <v>127</v>
      </c>
    </row>
    <row r="21" spans="1:28">
      <c r="A21" s="32">
        <v>40330</v>
      </c>
      <c r="B21" s="8">
        <v>4</v>
      </c>
      <c r="C21" s="30">
        <v>40</v>
      </c>
      <c r="D21" s="30">
        <f t="shared" si="1"/>
        <v>4</v>
      </c>
      <c r="E21" s="31">
        <f t="shared" si="0"/>
        <v>48</v>
      </c>
      <c r="F21" s="30">
        <f t="shared" si="2"/>
        <v>4.8000000000000007</v>
      </c>
      <c r="G21" s="22">
        <f t="shared" si="3"/>
        <v>5.0256000000000007</v>
      </c>
      <c r="H21" s="22">
        <f t="shared" si="4"/>
        <v>1406.3873425139177</v>
      </c>
      <c r="I21" s="22">
        <f t="shared" si="5"/>
        <v>1472.4875476120717</v>
      </c>
      <c r="J21" s="32">
        <v>40330</v>
      </c>
      <c r="L21" s="13">
        <v>317</v>
      </c>
      <c r="M21" s="13">
        <v>122</v>
      </c>
      <c r="N21" s="13">
        <f t="shared" si="6"/>
        <v>317</v>
      </c>
      <c r="O21" s="13">
        <f t="shared" si="11"/>
        <v>439</v>
      </c>
      <c r="P21" s="22">
        <f t="shared" si="8"/>
        <v>1466.26</v>
      </c>
      <c r="Q21" s="22">
        <f t="shared" si="9"/>
        <v>1.4983069999999998</v>
      </c>
      <c r="R21" s="22">
        <f t="shared" si="10"/>
        <v>5.0043453799999993</v>
      </c>
      <c r="T21" s="13">
        <f>HDD!B16</f>
        <v>42</v>
      </c>
      <c r="U21" s="36">
        <v>40135</v>
      </c>
      <c r="V21" s="36">
        <v>40165</v>
      </c>
      <c r="W21" s="37">
        <v>30</v>
      </c>
      <c r="X21" s="37">
        <v>3</v>
      </c>
      <c r="Y21" s="36">
        <v>40135</v>
      </c>
      <c r="Z21" s="36">
        <v>40165</v>
      </c>
      <c r="AA21" s="37">
        <v>30</v>
      </c>
      <c r="AB21" s="37">
        <v>222</v>
      </c>
    </row>
    <row r="22" spans="1:28">
      <c r="A22" s="32">
        <v>40360</v>
      </c>
      <c r="B22" s="8">
        <v>4</v>
      </c>
      <c r="C22" s="30">
        <v>29</v>
      </c>
      <c r="D22" s="30">
        <f t="shared" si="1"/>
        <v>4</v>
      </c>
      <c r="E22" s="31">
        <f t="shared" si="0"/>
        <v>37</v>
      </c>
      <c r="F22" s="30">
        <f t="shared" si="2"/>
        <v>3.7</v>
      </c>
      <c r="G22" s="22">
        <f t="shared" si="3"/>
        <v>3.8738999999999999</v>
      </c>
      <c r="H22" s="22">
        <f t="shared" si="4"/>
        <v>1084.0902431878114</v>
      </c>
      <c r="I22" s="22">
        <f t="shared" si="5"/>
        <v>1135.0424846176386</v>
      </c>
      <c r="J22" s="32">
        <v>40360</v>
      </c>
      <c r="L22" s="13">
        <v>429</v>
      </c>
      <c r="M22" s="13">
        <v>51</v>
      </c>
      <c r="N22" s="13">
        <f t="shared" si="6"/>
        <v>429</v>
      </c>
      <c r="O22" s="13">
        <f t="shared" si="11"/>
        <v>480</v>
      </c>
      <c r="P22" s="22">
        <f t="shared" si="8"/>
        <v>1603.1999999999998</v>
      </c>
      <c r="Q22" s="22">
        <f t="shared" si="9"/>
        <v>1.6382399999999999</v>
      </c>
      <c r="R22" s="22">
        <f t="shared" si="10"/>
        <v>5.4717215999999995</v>
      </c>
      <c r="T22" s="13">
        <f>HDD!B17</f>
        <v>3</v>
      </c>
      <c r="U22" s="36">
        <v>40165</v>
      </c>
      <c r="V22" s="36">
        <v>40198</v>
      </c>
      <c r="W22" s="37">
        <v>33</v>
      </c>
      <c r="X22" s="37">
        <v>5</v>
      </c>
      <c r="Y22" s="36">
        <v>40165</v>
      </c>
      <c r="Z22" s="36">
        <v>40198</v>
      </c>
      <c r="AA22" s="37">
        <v>33</v>
      </c>
      <c r="AB22" s="37">
        <v>367</v>
      </c>
    </row>
    <row r="23" spans="1:28">
      <c r="A23" s="32">
        <v>40391</v>
      </c>
      <c r="B23" s="8">
        <v>3</v>
      </c>
      <c r="C23" s="30">
        <v>26</v>
      </c>
      <c r="D23" s="30">
        <f t="shared" si="1"/>
        <v>3</v>
      </c>
      <c r="E23" s="31">
        <f t="shared" si="0"/>
        <v>32</v>
      </c>
      <c r="F23" s="30">
        <f t="shared" si="2"/>
        <v>3.2</v>
      </c>
      <c r="G23" s="22">
        <f t="shared" si="3"/>
        <v>3.3504</v>
      </c>
      <c r="H23" s="22">
        <f t="shared" si="4"/>
        <v>937.59156167594506</v>
      </c>
      <c r="I23" s="22">
        <f t="shared" si="5"/>
        <v>981.65836507471442</v>
      </c>
      <c r="J23" s="32">
        <v>40391</v>
      </c>
      <c r="M23" s="13">
        <v>36</v>
      </c>
      <c r="T23" s="13">
        <f>HDD!B18</f>
        <v>10</v>
      </c>
      <c r="U23" s="36">
        <v>40198</v>
      </c>
      <c r="V23" s="36">
        <v>40226</v>
      </c>
      <c r="W23" s="37">
        <v>28</v>
      </c>
      <c r="X23" s="37">
        <v>3</v>
      </c>
      <c r="Y23" s="36">
        <v>40198</v>
      </c>
      <c r="Z23" s="36">
        <v>40226</v>
      </c>
      <c r="AA23" s="37">
        <v>28</v>
      </c>
      <c r="AB23" s="37">
        <v>296</v>
      </c>
    </row>
    <row r="24" spans="1:28">
      <c r="A24" s="32">
        <v>40422</v>
      </c>
      <c r="B24" s="8">
        <v>4</v>
      </c>
      <c r="C24" s="30">
        <v>39</v>
      </c>
      <c r="D24" s="30">
        <f t="shared" si="1"/>
        <v>4</v>
      </c>
      <c r="E24" s="31">
        <f t="shared" si="0"/>
        <v>47</v>
      </c>
      <c r="F24" s="30">
        <f t="shared" si="2"/>
        <v>4.7</v>
      </c>
      <c r="G24" s="22">
        <f t="shared" si="3"/>
        <v>4.9208999999999996</v>
      </c>
      <c r="H24" s="22">
        <f t="shared" si="4"/>
        <v>1377.0876062115442</v>
      </c>
      <c r="I24" s="22">
        <f t="shared" si="5"/>
        <v>1441.8107237034867</v>
      </c>
      <c r="J24" s="32">
        <v>40422</v>
      </c>
      <c r="M24" s="13">
        <v>57</v>
      </c>
      <c r="T24" s="13">
        <f>HDD!B19</f>
        <v>55</v>
      </c>
      <c r="U24" s="36">
        <v>40226</v>
      </c>
      <c r="V24" s="36">
        <v>40254</v>
      </c>
      <c r="W24" s="37">
        <v>28</v>
      </c>
      <c r="X24" s="37">
        <v>4</v>
      </c>
      <c r="Y24" s="36">
        <v>40226</v>
      </c>
      <c r="Z24" s="36">
        <v>40254</v>
      </c>
      <c r="AA24" s="37">
        <v>28</v>
      </c>
      <c r="AB24" s="37">
        <v>225</v>
      </c>
    </row>
    <row r="25" spans="1:28">
      <c r="A25" s="32">
        <v>40452</v>
      </c>
      <c r="B25" s="8">
        <v>4</v>
      </c>
      <c r="C25" s="30">
        <v>55</v>
      </c>
      <c r="D25" s="30">
        <f t="shared" si="1"/>
        <v>4</v>
      </c>
      <c r="E25" s="31">
        <f t="shared" si="0"/>
        <v>63</v>
      </c>
      <c r="F25" s="30">
        <f t="shared" si="2"/>
        <v>6.3000000000000007</v>
      </c>
      <c r="G25" s="22">
        <f t="shared" si="3"/>
        <v>6.5961000000000007</v>
      </c>
      <c r="H25" s="22">
        <f t="shared" si="4"/>
        <v>1845.8833870495168</v>
      </c>
      <c r="I25" s="22">
        <f t="shared" si="5"/>
        <v>1932.6399062408441</v>
      </c>
      <c r="J25" s="32">
        <v>40452</v>
      </c>
      <c r="M25" s="13">
        <v>82</v>
      </c>
      <c r="T25" s="13">
        <f>HDD!B20</f>
        <v>320</v>
      </c>
      <c r="U25" s="36">
        <v>40254</v>
      </c>
      <c r="V25" s="36">
        <v>40285</v>
      </c>
      <c r="W25" s="37">
        <v>31</v>
      </c>
      <c r="X25" s="37">
        <v>4</v>
      </c>
      <c r="Y25" s="36">
        <v>40254</v>
      </c>
      <c r="Z25" s="36">
        <v>40285</v>
      </c>
      <c r="AA25" s="37">
        <v>31</v>
      </c>
      <c r="AB25" s="37">
        <v>134</v>
      </c>
    </row>
    <row r="26" spans="1:28">
      <c r="A26" s="32">
        <v>40483</v>
      </c>
      <c r="B26" s="8">
        <v>5</v>
      </c>
      <c r="C26" s="30">
        <v>173</v>
      </c>
      <c r="D26" s="30">
        <f t="shared" si="1"/>
        <v>5</v>
      </c>
      <c r="E26" s="31">
        <f t="shared" si="0"/>
        <v>183</v>
      </c>
      <c r="F26" s="30">
        <f t="shared" si="2"/>
        <v>18.3</v>
      </c>
      <c r="G26" s="22">
        <f t="shared" si="3"/>
        <v>19.1601</v>
      </c>
      <c r="H26" s="22">
        <f t="shared" si="4"/>
        <v>5361.8517433343104</v>
      </c>
      <c r="I26" s="22">
        <f t="shared" si="5"/>
        <v>5613.8587752710228</v>
      </c>
      <c r="J26" s="32">
        <v>40483</v>
      </c>
      <c r="L26" s="13">
        <v>-139</v>
      </c>
      <c r="M26" s="13">
        <v>404</v>
      </c>
      <c r="T26" s="13">
        <f>HDD!B21</f>
        <v>608</v>
      </c>
      <c r="U26" s="36">
        <v>40285</v>
      </c>
      <c r="V26" s="36">
        <v>40315</v>
      </c>
      <c r="W26" s="37">
        <v>30</v>
      </c>
      <c r="X26" s="37">
        <v>3</v>
      </c>
      <c r="Y26" s="36">
        <v>40285</v>
      </c>
      <c r="Z26" s="36">
        <v>40315</v>
      </c>
      <c r="AA26" s="37">
        <v>30</v>
      </c>
      <c r="AB26" s="37">
        <v>94</v>
      </c>
    </row>
    <row r="27" spans="1:28">
      <c r="A27" s="33">
        <v>40513</v>
      </c>
      <c r="B27" s="34"/>
      <c r="C27" s="34"/>
      <c r="D27" s="34"/>
      <c r="E27" s="31">
        <f t="shared" si="0"/>
        <v>0</v>
      </c>
      <c r="F27" s="30"/>
      <c r="J27" s="33">
        <v>40513</v>
      </c>
      <c r="L27" s="13">
        <v>-36</v>
      </c>
      <c r="M27" s="13">
        <v>648</v>
      </c>
      <c r="T27" s="13">
        <f>HDD!B22</f>
        <v>1010</v>
      </c>
      <c r="U27" s="36">
        <v>40315</v>
      </c>
      <c r="V27" s="36">
        <v>40344</v>
      </c>
      <c r="W27" s="37">
        <v>29</v>
      </c>
      <c r="X27" s="37">
        <v>4</v>
      </c>
      <c r="Y27" s="36">
        <v>40315</v>
      </c>
      <c r="Z27" s="36">
        <v>40344</v>
      </c>
      <c r="AA27" s="37">
        <v>29</v>
      </c>
      <c r="AB27" s="37">
        <v>40</v>
      </c>
    </row>
    <row r="28" spans="1:28">
      <c r="A28" s="1"/>
      <c r="J28" s="33">
        <v>40544</v>
      </c>
      <c r="M28" s="13">
        <v>719</v>
      </c>
      <c r="T28" s="13">
        <f>HDD!B23</f>
        <v>1154</v>
      </c>
      <c r="U28" s="36">
        <v>40344</v>
      </c>
      <c r="V28" s="36">
        <v>40375</v>
      </c>
      <c r="W28" s="37">
        <v>31</v>
      </c>
      <c r="X28" s="37">
        <v>4</v>
      </c>
      <c r="Y28" s="36">
        <v>40344</v>
      </c>
      <c r="Z28" s="36">
        <v>40375</v>
      </c>
      <c r="AA28" s="37">
        <v>31</v>
      </c>
      <c r="AB28" s="37">
        <v>29</v>
      </c>
    </row>
    <row r="29" spans="1:28">
      <c r="A29" s="1"/>
      <c r="J29" s="33">
        <v>40575</v>
      </c>
      <c r="M29" s="13">
        <v>570</v>
      </c>
      <c r="T29" s="13">
        <f>HDD!B24</f>
        <v>964</v>
      </c>
      <c r="U29" s="36">
        <v>40375</v>
      </c>
      <c r="V29" s="36">
        <v>40406</v>
      </c>
      <c r="W29" s="37">
        <v>31</v>
      </c>
      <c r="X29" s="37">
        <v>3</v>
      </c>
      <c r="Y29" s="36">
        <v>40375</v>
      </c>
      <c r="Z29" s="36">
        <v>40406</v>
      </c>
      <c r="AA29" s="37">
        <v>31</v>
      </c>
      <c r="AB29" s="37">
        <v>26</v>
      </c>
    </row>
    <row r="30" spans="1:28">
      <c r="A30" s="1"/>
      <c r="T30" s="13">
        <f>HDD!B25</f>
        <v>813</v>
      </c>
      <c r="U30" s="36">
        <v>40406</v>
      </c>
      <c r="V30" s="36">
        <v>40438</v>
      </c>
      <c r="W30" s="37">
        <v>32</v>
      </c>
      <c r="X30" s="37">
        <v>4</v>
      </c>
      <c r="Y30" s="36">
        <v>40406</v>
      </c>
      <c r="Z30" s="36">
        <v>40438</v>
      </c>
      <c r="AA30" s="37">
        <v>32</v>
      </c>
      <c r="AB30" s="37">
        <v>39</v>
      </c>
    </row>
    <row r="31" spans="1:28">
      <c r="A31" s="1"/>
      <c r="E31" s="22">
        <f>SUM(E11:E22)</f>
        <v>1781</v>
      </c>
      <c r="G31" s="22">
        <f>SUM(G11:G22)</f>
        <v>186.47069999999999</v>
      </c>
      <c r="O31" s="22">
        <f>SUM(O11:O22)</f>
        <v>7192</v>
      </c>
      <c r="P31" s="22">
        <f>SUM(P11:P22)</f>
        <v>24021.279999999999</v>
      </c>
      <c r="R31" s="22">
        <f>SUM(R11:R22)</f>
        <v>81.984628639999997</v>
      </c>
      <c r="U31" s="36">
        <v>40438</v>
      </c>
      <c r="V31" s="36">
        <v>40466</v>
      </c>
      <c r="W31" s="37">
        <v>28</v>
      </c>
      <c r="X31" s="37">
        <v>4</v>
      </c>
      <c r="Y31" s="36">
        <v>40438</v>
      </c>
      <c r="Z31" s="36">
        <v>40466</v>
      </c>
      <c r="AA31" s="37">
        <v>28</v>
      </c>
      <c r="AB31" s="37">
        <v>55</v>
      </c>
    </row>
    <row r="32" spans="1:28">
      <c r="A32" s="1"/>
      <c r="U32" s="36">
        <v>40466</v>
      </c>
      <c r="V32" s="36">
        <v>40497</v>
      </c>
      <c r="W32" s="37">
        <v>31</v>
      </c>
      <c r="X32" s="37">
        <v>5</v>
      </c>
      <c r="Y32" s="36">
        <v>40466</v>
      </c>
      <c r="Z32" s="36">
        <v>40497</v>
      </c>
      <c r="AA32" s="37">
        <v>31</v>
      </c>
      <c r="AB32" s="37">
        <v>173</v>
      </c>
    </row>
    <row r="34" spans="2:14">
      <c r="B34" s="26" t="s">
        <v>58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</row>
    <row r="35" spans="2:14">
      <c r="B35" s="29"/>
      <c r="C35" s="30"/>
      <c r="D35" s="30"/>
      <c r="E35" s="30" t="s">
        <v>55</v>
      </c>
      <c r="F35" s="30"/>
      <c r="G35" s="30"/>
      <c r="H35" s="30"/>
      <c r="I35" s="30" t="s">
        <v>59</v>
      </c>
      <c r="J35" s="30"/>
      <c r="K35" s="30" t="s">
        <v>60</v>
      </c>
      <c r="L35" s="30"/>
      <c r="M35" s="30"/>
      <c r="N35" s="31"/>
    </row>
    <row r="36" spans="2:14">
      <c r="B36" s="29"/>
      <c r="C36" s="30" t="s">
        <v>47</v>
      </c>
      <c r="D36" s="30"/>
      <c r="E36" s="30">
        <f>SUM(E11:E22)</f>
        <v>1781</v>
      </c>
      <c r="F36" s="30"/>
      <c r="G36" s="30"/>
      <c r="H36" s="30" t="s">
        <v>54</v>
      </c>
      <c r="I36" s="30">
        <f>SUM(M18:M29)+SUM(L26:L27)</f>
        <v>3607</v>
      </c>
      <c r="J36" s="30"/>
      <c r="K36" s="30">
        <f>SUM(N11:N22)</f>
        <v>3585</v>
      </c>
      <c r="L36" s="30"/>
      <c r="M36" s="30" t="s">
        <v>27</v>
      </c>
      <c r="N36" s="31">
        <f>I36+K36</f>
        <v>7192</v>
      </c>
    </row>
    <row r="37" spans="2:14">
      <c r="B37" s="29"/>
      <c r="C37" s="30"/>
      <c r="D37" s="30"/>
      <c r="E37" s="30"/>
      <c r="F37" s="30"/>
      <c r="G37" s="30"/>
      <c r="H37" s="30"/>
      <c r="I37" s="30"/>
      <c r="J37" s="30" t="s">
        <v>17</v>
      </c>
      <c r="K37" s="30" t="s">
        <v>61</v>
      </c>
      <c r="L37" s="30"/>
      <c r="M37" s="30" t="s">
        <v>63</v>
      </c>
      <c r="N37" s="105" t="s">
        <v>62</v>
      </c>
    </row>
    <row r="38" spans="2:14">
      <c r="B38" s="29"/>
      <c r="C38" s="30"/>
      <c r="D38" s="30"/>
      <c r="E38" s="30"/>
      <c r="F38" s="30"/>
      <c r="G38" s="30"/>
      <c r="H38" s="30" t="s">
        <v>64</v>
      </c>
      <c r="I38" s="30"/>
      <c r="J38" s="44">
        <f>SUM(H11:H22)+SUM(O11:O22)</f>
        <v>59374.830354526821</v>
      </c>
      <c r="K38" s="44">
        <f>SUM(I11:I22)+SUM(P11:P22)</f>
        <v>78656.703381189582</v>
      </c>
      <c r="L38" s="30"/>
      <c r="M38" s="44">
        <f>SUM(F11:F22)+SUM(Q11:Q22)</f>
        <v>202.64629600000001</v>
      </c>
      <c r="N38" s="45">
        <f>SUM(G11:G22)+SUM(R11:R22)</f>
        <v>268.45532864</v>
      </c>
    </row>
    <row r="39" spans="2:14">
      <c r="B39" s="38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9"/>
    </row>
    <row r="41" spans="2:14">
      <c r="B41" s="26" t="s">
        <v>56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</row>
    <row r="42" spans="2:14">
      <c r="B42" s="29" t="s">
        <v>111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</row>
    <row r="43" spans="2:14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</row>
    <row r="44" spans="2:14">
      <c r="B44" s="29"/>
      <c r="C44" s="30"/>
      <c r="D44" s="30"/>
      <c r="E44" s="30" t="s">
        <v>55</v>
      </c>
      <c r="F44" s="30"/>
      <c r="G44" s="30"/>
      <c r="H44" s="30"/>
      <c r="I44" s="30" t="s">
        <v>17</v>
      </c>
      <c r="J44" s="30"/>
      <c r="K44" s="30"/>
      <c r="L44" s="30"/>
      <c r="M44" s="30"/>
      <c r="N44" s="31"/>
    </row>
    <row r="45" spans="2:14">
      <c r="B45" s="29"/>
      <c r="C45" s="30" t="s">
        <v>53</v>
      </c>
      <c r="D45" s="30"/>
      <c r="E45" s="30">
        <v>2192</v>
      </c>
      <c r="F45" s="30"/>
      <c r="G45" s="30"/>
      <c r="H45" s="30" t="s">
        <v>54</v>
      </c>
      <c r="I45" s="30">
        <v>10051</v>
      </c>
      <c r="J45" s="30"/>
      <c r="K45" s="30"/>
      <c r="L45" s="30"/>
      <c r="M45" s="30"/>
      <c r="N45" s="31"/>
    </row>
    <row r="46" spans="2:14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</row>
    <row r="47" spans="2:14">
      <c r="B47" s="3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9"/>
    </row>
    <row r="50" spans="2:12">
      <c r="B50" s="13" t="s">
        <v>100</v>
      </c>
    </row>
    <row r="51" spans="2:12">
      <c r="C51" s="125" t="s">
        <v>94</v>
      </c>
      <c r="D51" s="125"/>
      <c r="E51" s="125"/>
    </row>
    <row r="52" spans="2:12" ht="26.25">
      <c r="C52" s="75" t="s">
        <v>95</v>
      </c>
      <c r="D52" s="75" t="s">
        <v>96</v>
      </c>
      <c r="E52" s="75" t="s">
        <v>97</v>
      </c>
    </row>
    <row r="53" spans="2:12">
      <c r="C53" s="62"/>
      <c r="D53" s="62"/>
      <c r="E53" s="62"/>
      <c r="I53" s="26" t="s">
        <v>106</v>
      </c>
      <c r="J53" s="27"/>
      <c r="K53" s="27"/>
      <c r="L53" s="28"/>
    </row>
    <row r="54" spans="2:12">
      <c r="B54" s="13" t="s">
        <v>104</v>
      </c>
      <c r="C54" s="80"/>
      <c r="D54" s="81"/>
      <c r="E54" s="81"/>
      <c r="F54" s="13" t="s">
        <v>101</v>
      </c>
      <c r="I54" s="29" t="s">
        <v>101</v>
      </c>
      <c r="J54" s="30" t="s">
        <v>107</v>
      </c>
      <c r="K54" s="30"/>
      <c r="L54" s="31"/>
    </row>
    <row r="55" spans="2:12">
      <c r="B55" s="13" t="s">
        <v>105</v>
      </c>
      <c r="C55" s="91"/>
      <c r="F55" s="13" t="s">
        <v>102</v>
      </c>
      <c r="G55" s="13" t="s">
        <v>103</v>
      </c>
      <c r="I55" s="29" t="s">
        <v>108</v>
      </c>
      <c r="J55" s="30" t="s">
        <v>109</v>
      </c>
      <c r="K55" s="30" t="s">
        <v>110</v>
      </c>
      <c r="L55" s="31"/>
    </row>
    <row r="56" spans="2:12">
      <c r="B56" s="99">
        <v>40087</v>
      </c>
      <c r="C56" s="100"/>
      <c r="D56" s="101">
        <v>9</v>
      </c>
      <c r="E56" s="102">
        <v>348</v>
      </c>
      <c r="F56" s="22">
        <f>0.0271*E56+3.0311</f>
        <v>12.4619</v>
      </c>
      <c r="G56" s="22">
        <f>'Energy Use'!$E$5*F56</f>
        <v>13.0476093</v>
      </c>
      <c r="I56" s="43">
        <f>SUM(G56:G67)</f>
        <v>201.40175759999997</v>
      </c>
      <c r="J56" s="44">
        <f>SUM(R11:R22)</f>
        <v>81.984628639999997</v>
      </c>
      <c r="K56" s="44">
        <f>I56+J56</f>
        <v>283.38638623999998</v>
      </c>
      <c r="L56" s="31"/>
    </row>
    <row r="57" spans="2:12">
      <c r="B57" s="32">
        <v>40118</v>
      </c>
      <c r="C57" s="91"/>
      <c r="D57" s="82">
        <v>0</v>
      </c>
      <c r="E57" s="103">
        <v>652</v>
      </c>
      <c r="F57" s="22">
        <f t="shared" ref="F57:F67" si="12">0.0271*E57+3.0311</f>
        <v>20.700299999999999</v>
      </c>
      <c r="G57" s="22">
        <f>'Energy Use'!$E$5*F57</f>
        <v>21.673214099999996</v>
      </c>
      <c r="I57" s="38"/>
      <c r="J57" s="34"/>
      <c r="K57" s="34"/>
      <c r="L57" s="39"/>
    </row>
    <row r="58" spans="2:12">
      <c r="B58" s="32">
        <v>40148</v>
      </c>
      <c r="C58" s="91"/>
      <c r="D58" s="82">
        <v>0</v>
      </c>
      <c r="E58" s="103">
        <v>902</v>
      </c>
      <c r="F58" s="22">
        <f t="shared" si="12"/>
        <v>27.475299999999997</v>
      </c>
      <c r="G58" s="22">
        <f>'Energy Use'!$E$5*F58</f>
        <v>28.766639099999995</v>
      </c>
    </row>
    <row r="59" spans="2:12">
      <c r="B59" s="32">
        <v>40179</v>
      </c>
      <c r="C59" s="91"/>
      <c r="D59" s="82">
        <v>0</v>
      </c>
      <c r="E59" s="103">
        <v>1189</v>
      </c>
      <c r="F59" s="22">
        <f t="shared" si="12"/>
        <v>35.253</v>
      </c>
      <c r="G59" s="22">
        <f>'Energy Use'!$E$5*F59</f>
        <v>36.909890999999995</v>
      </c>
    </row>
    <row r="60" spans="2:12">
      <c r="B60" s="32">
        <v>40210</v>
      </c>
      <c r="C60" s="91"/>
      <c r="D60" s="82">
        <v>0</v>
      </c>
      <c r="E60" s="103">
        <v>950</v>
      </c>
      <c r="F60" s="22">
        <f t="shared" si="12"/>
        <v>28.776099999999996</v>
      </c>
      <c r="G60" s="22">
        <f>'Energy Use'!$E$5*F60</f>
        <v>30.128576699999993</v>
      </c>
    </row>
    <row r="61" spans="2:12">
      <c r="B61" s="32">
        <v>40238</v>
      </c>
      <c r="C61" s="91"/>
      <c r="D61" s="82">
        <v>0</v>
      </c>
      <c r="E61" s="103">
        <v>813</v>
      </c>
      <c r="F61" s="22">
        <f t="shared" si="12"/>
        <v>25.063399999999998</v>
      </c>
      <c r="G61" s="22">
        <f>'Energy Use'!$E$5*F61</f>
        <v>26.241379799999997</v>
      </c>
    </row>
    <row r="62" spans="2:12">
      <c r="B62" s="32">
        <v>40269</v>
      </c>
      <c r="C62" s="91"/>
      <c r="D62" s="82">
        <v>9</v>
      </c>
      <c r="E62" s="103">
        <v>537</v>
      </c>
      <c r="F62" s="22">
        <f t="shared" si="12"/>
        <v>17.5838</v>
      </c>
      <c r="G62" s="22">
        <f>'Energy Use'!$E$5*F62</f>
        <v>18.4102386</v>
      </c>
    </row>
    <row r="63" spans="2:12">
      <c r="B63" s="32">
        <v>40299</v>
      </c>
      <c r="C63" s="91"/>
      <c r="D63" s="82">
        <v>30</v>
      </c>
      <c r="E63" s="103">
        <v>204</v>
      </c>
      <c r="F63" s="22">
        <f t="shared" si="12"/>
        <v>8.5594999999999999</v>
      </c>
      <c r="G63" s="22">
        <f>'Energy Use'!$E$5*F63</f>
        <v>8.9617965000000002</v>
      </c>
    </row>
    <row r="64" spans="2:12">
      <c r="B64" s="32">
        <v>40330</v>
      </c>
      <c r="C64" s="91"/>
      <c r="D64" s="82">
        <v>116</v>
      </c>
      <c r="E64" s="103">
        <v>87</v>
      </c>
      <c r="F64" s="22">
        <f t="shared" si="12"/>
        <v>5.3887999999999998</v>
      </c>
      <c r="G64" s="22">
        <f>'Energy Use'!$E$5*F64</f>
        <v>5.6420735999999998</v>
      </c>
    </row>
    <row r="65" spans="2:7">
      <c r="B65" s="32">
        <v>40360</v>
      </c>
      <c r="C65" s="91"/>
      <c r="D65" s="82">
        <v>284</v>
      </c>
      <c r="E65" s="103">
        <v>3</v>
      </c>
      <c r="F65" s="22">
        <f t="shared" si="12"/>
        <v>3.1124000000000001</v>
      </c>
      <c r="G65" s="22">
        <f>'Energy Use'!$E$5*F65</f>
        <v>3.2586827999999999</v>
      </c>
    </row>
    <row r="66" spans="2:7">
      <c r="B66" s="32">
        <v>40391</v>
      </c>
      <c r="C66" s="91"/>
      <c r="D66" s="82">
        <v>193</v>
      </c>
      <c r="E66" s="103">
        <v>5</v>
      </c>
      <c r="F66" s="22">
        <f t="shared" si="12"/>
        <v>3.1665999999999999</v>
      </c>
      <c r="G66" s="22">
        <f>'Energy Use'!$E$5*F66</f>
        <v>3.3154301999999998</v>
      </c>
    </row>
    <row r="67" spans="2:7">
      <c r="B67" s="33">
        <v>40422</v>
      </c>
      <c r="C67" s="86"/>
      <c r="D67" s="88">
        <v>53</v>
      </c>
      <c r="E67" s="104">
        <v>66</v>
      </c>
      <c r="F67" s="22">
        <f t="shared" si="12"/>
        <v>4.8197000000000001</v>
      </c>
      <c r="G67" s="22">
        <f>'Energy Use'!$E$5*F67</f>
        <v>5.0462258999999996</v>
      </c>
    </row>
    <row r="68" spans="2:7">
      <c r="G68" s="22"/>
    </row>
  </sheetData>
  <mergeCells count="1">
    <mergeCell ref="C51:E5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27"/>
  <sheetViews>
    <sheetView workbookViewId="0">
      <selection activeCell="B29" sqref="B29"/>
    </sheetView>
  </sheetViews>
  <sheetFormatPr defaultRowHeight="15"/>
  <cols>
    <col min="3" max="4" width="9.140625" style="13"/>
    <col min="6" max="6" width="9.140625" style="13"/>
    <col min="20" max="20" width="11.85546875" customWidth="1"/>
    <col min="21" max="21" width="11.7109375" customWidth="1"/>
    <col min="24" max="24" width="10.42578125" customWidth="1"/>
    <col min="25" max="25" width="10.28515625" customWidth="1"/>
    <col min="28" max="28" width="11" customWidth="1"/>
    <col min="29" max="29" width="10.140625" customWidth="1"/>
  </cols>
  <sheetData>
    <row r="2" spans="1:31">
      <c r="B2" s="13" t="s">
        <v>39</v>
      </c>
      <c r="H2" s="15"/>
    </row>
    <row r="3" spans="1:31">
      <c r="B3" s="13" t="s">
        <v>40</v>
      </c>
      <c r="T3" s="36">
        <v>40497</v>
      </c>
      <c r="U3" s="36">
        <v>40526</v>
      </c>
      <c r="V3" s="37">
        <v>29</v>
      </c>
      <c r="W3" s="37">
        <v>3</v>
      </c>
      <c r="X3" s="36">
        <v>40497</v>
      </c>
      <c r="Y3" s="36">
        <v>40526</v>
      </c>
      <c r="Z3" s="37">
        <v>29</v>
      </c>
      <c r="AA3" s="37">
        <v>249</v>
      </c>
      <c r="AB3" s="36">
        <v>40879</v>
      </c>
      <c r="AC3" s="36">
        <v>40891</v>
      </c>
      <c r="AD3" s="37">
        <v>12</v>
      </c>
      <c r="AE3" s="37">
        <v>1</v>
      </c>
    </row>
    <row r="4" spans="1:31">
      <c r="A4" s="13" t="s">
        <v>14</v>
      </c>
      <c r="G4" s="13" t="s">
        <v>43</v>
      </c>
      <c r="T4" s="36">
        <v>40526</v>
      </c>
      <c r="U4" s="36">
        <v>40556</v>
      </c>
      <c r="V4" s="37">
        <v>30</v>
      </c>
      <c r="W4" s="37">
        <v>4</v>
      </c>
      <c r="X4" s="36">
        <v>40526</v>
      </c>
      <c r="Y4" s="36">
        <v>40556</v>
      </c>
      <c r="Z4" s="37">
        <v>30</v>
      </c>
      <c r="AA4" s="37">
        <v>358</v>
      </c>
      <c r="AB4" s="36">
        <v>40891</v>
      </c>
      <c r="AC4" s="36">
        <v>40925</v>
      </c>
      <c r="AD4" s="37">
        <v>34</v>
      </c>
      <c r="AE4" s="37">
        <v>3</v>
      </c>
    </row>
    <row r="5" spans="1:31">
      <c r="B5" s="13" t="s">
        <v>35</v>
      </c>
      <c r="C5" s="13" t="s">
        <v>36</v>
      </c>
      <c r="D5" s="13" t="s">
        <v>38</v>
      </c>
      <c r="E5" s="13" t="s">
        <v>37</v>
      </c>
      <c r="G5" t="s">
        <v>1</v>
      </c>
      <c r="T5" s="36">
        <v>40556</v>
      </c>
      <c r="U5" s="36">
        <v>40585</v>
      </c>
      <c r="V5" s="37">
        <v>29</v>
      </c>
      <c r="W5" s="37">
        <v>4</v>
      </c>
      <c r="X5" s="36">
        <v>40556</v>
      </c>
      <c r="Y5" s="36">
        <v>40585</v>
      </c>
      <c r="Z5" s="37">
        <v>29</v>
      </c>
      <c r="AA5" s="37">
        <v>366</v>
      </c>
      <c r="AB5" s="36">
        <v>40925</v>
      </c>
      <c r="AC5" s="36">
        <v>40952</v>
      </c>
      <c r="AD5" s="37">
        <v>27</v>
      </c>
      <c r="AE5" s="37">
        <v>3</v>
      </c>
    </row>
    <row r="6" spans="1:31">
      <c r="A6" s="1">
        <v>40513</v>
      </c>
      <c r="B6">
        <v>3</v>
      </c>
      <c r="C6" s="13">
        <v>249</v>
      </c>
      <c r="D6" s="13">
        <f>B6</f>
        <v>3</v>
      </c>
      <c r="E6" s="35">
        <f>B6+C6+D6</f>
        <v>255</v>
      </c>
      <c r="F6" s="3"/>
      <c r="G6" s="2">
        <f>HDD!B23</f>
        <v>1154</v>
      </c>
      <c r="T6" s="36">
        <v>40585</v>
      </c>
      <c r="U6" s="36">
        <v>40617</v>
      </c>
      <c r="V6" s="37">
        <v>32</v>
      </c>
      <c r="W6" s="37">
        <v>4</v>
      </c>
      <c r="X6" s="36">
        <v>40585</v>
      </c>
      <c r="Y6" s="36">
        <v>40617</v>
      </c>
      <c r="Z6" s="37">
        <v>32</v>
      </c>
      <c r="AA6" s="37">
        <v>304</v>
      </c>
      <c r="AB6" s="36">
        <v>40952</v>
      </c>
      <c r="AC6" s="36">
        <v>40982</v>
      </c>
      <c r="AD6" s="37">
        <v>30</v>
      </c>
      <c r="AE6" s="37">
        <v>3</v>
      </c>
    </row>
    <row r="7" spans="1:31">
      <c r="A7" s="1">
        <v>40544</v>
      </c>
      <c r="B7" s="2">
        <v>4</v>
      </c>
      <c r="C7" s="6">
        <v>358</v>
      </c>
      <c r="D7" s="13">
        <f t="shared" ref="D7:D17" si="0">B7</f>
        <v>4</v>
      </c>
      <c r="E7" s="35">
        <f t="shared" ref="E7:E27" si="1">B7+C7+D7</f>
        <v>366</v>
      </c>
      <c r="F7" s="3"/>
      <c r="G7" s="6">
        <f>HDD!B24</f>
        <v>964</v>
      </c>
      <c r="T7" s="36">
        <v>40617</v>
      </c>
      <c r="U7" s="36">
        <v>40647</v>
      </c>
      <c r="V7" s="37">
        <v>30</v>
      </c>
      <c r="W7" s="37">
        <v>4</v>
      </c>
      <c r="X7" s="36">
        <v>40617</v>
      </c>
      <c r="Y7" s="36">
        <v>40647</v>
      </c>
      <c r="Z7" s="37">
        <v>30</v>
      </c>
      <c r="AA7" s="37">
        <v>207</v>
      </c>
      <c r="AB7" s="36">
        <v>40982</v>
      </c>
      <c r="AC7" s="36">
        <v>41016</v>
      </c>
      <c r="AD7" s="37">
        <v>34</v>
      </c>
      <c r="AE7" s="37">
        <v>2</v>
      </c>
    </row>
    <row r="8" spans="1:31">
      <c r="A8" s="1">
        <v>40575</v>
      </c>
      <c r="B8" s="2">
        <v>4</v>
      </c>
      <c r="C8" s="6">
        <v>366</v>
      </c>
      <c r="D8" s="13">
        <f t="shared" si="0"/>
        <v>4</v>
      </c>
      <c r="E8" s="35">
        <f t="shared" si="1"/>
        <v>374</v>
      </c>
      <c r="F8" s="3"/>
      <c r="G8" s="6">
        <f>HDD!B25</f>
        <v>813</v>
      </c>
      <c r="T8" s="36">
        <v>40647</v>
      </c>
      <c r="U8" s="36">
        <v>40679</v>
      </c>
      <c r="V8" s="37">
        <v>32</v>
      </c>
      <c r="W8" s="37">
        <v>4</v>
      </c>
      <c r="X8" s="36">
        <v>40647</v>
      </c>
      <c r="Y8" s="36">
        <v>40679</v>
      </c>
      <c r="Z8" s="37">
        <v>32</v>
      </c>
      <c r="AA8" s="37">
        <v>49</v>
      </c>
      <c r="AB8" s="36">
        <v>41016</v>
      </c>
      <c r="AC8" s="36">
        <v>41044</v>
      </c>
      <c r="AD8" s="37">
        <v>28</v>
      </c>
      <c r="AE8" s="37">
        <v>3</v>
      </c>
    </row>
    <row r="9" spans="1:31">
      <c r="A9" s="1">
        <v>40603</v>
      </c>
      <c r="B9" s="2">
        <v>4</v>
      </c>
      <c r="C9" s="6">
        <v>304</v>
      </c>
      <c r="D9" s="13">
        <f t="shared" si="0"/>
        <v>4</v>
      </c>
      <c r="E9" s="35">
        <f t="shared" si="1"/>
        <v>312</v>
      </c>
      <c r="F9" s="3"/>
      <c r="G9" s="6">
        <f>HDD!B26</f>
        <v>468</v>
      </c>
      <c r="T9" s="36">
        <v>40679</v>
      </c>
      <c r="U9" s="36">
        <v>40708</v>
      </c>
      <c r="V9" s="37">
        <v>29</v>
      </c>
      <c r="W9" s="37">
        <v>3</v>
      </c>
      <c r="X9" s="36">
        <v>40679</v>
      </c>
      <c r="Y9" s="36">
        <v>40708</v>
      </c>
      <c r="Z9" s="37">
        <v>29</v>
      </c>
      <c r="AA9" s="37">
        <v>27</v>
      </c>
      <c r="AB9" s="36">
        <v>41044</v>
      </c>
      <c r="AC9" s="36">
        <v>41074</v>
      </c>
      <c r="AD9" s="37">
        <v>30</v>
      </c>
      <c r="AE9" s="37">
        <v>2</v>
      </c>
    </row>
    <row r="10" spans="1:31">
      <c r="A10" s="1">
        <v>40634</v>
      </c>
      <c r="B10" s="2">
        <v>4</v>
      </c>
      <c r="C10" s="6">
        <v>207</v>
      </c>
      <c r="D10" s="13">
        <f t="shared" si="0"/>
        <v>4</v>
      </c>
      <c r="E10" s="35">
        <f t="shared" si="1"/>
        <v>215</v>
      </c>
      <c r="F10" s="3"/>
      <c r="G10" s="6">
        <f>HDD!B27</f>
        <v>255</v>
      </c>
      <c r="T10" s="36">
        <v>40708</v>
      </c>
      <c r="U10" s="36">
        <v>40742</v>
      </c>
      <c r="V10" s="37">
        <v>34</v>
      </c>
      <c r="W10" s="37">
        <v>4</v>
      </c>
      <c r="X10" s="36">
        <v>40708</v>
      </c>
      <c r="Y10" s="36">
        <v>40742</v>
      </c>
      <c r="Z10" s="37">
        <v>34</v>
      </c>
      <c r="AA10" s="37">
        <v>26</v>
      </c>
      <c r="AB10" s="36">
        <v>41074</v>
      </c>
      <c r="AC10" s="36">
        <v>41106</v>
      </c>
      <c r="AD10" s="37">
        <v>32</v>
      </c>
      <c r="AE10" s="37">
        <v>2</v>
      </c>
    </row>
    <row r="11" spans="1:31">
      <c r="A11" s="1">
        <v>40664</v>
      </c>
      <c r="B11" s="2">
        <v>4</v>
      </c>
      <c r="C11" s="6">
        <v>49</v>
      </c>
      <c r="D11" s="13">
        <f t="shared" si="0"/>
        <v>4</v>
      </c>
      <c r="E11" s="35">
        <f t="shared" si="1"/>
        <v>57</v>
      </c>
      <c r="F11" s="3"/>
      <c r="G11" s="6">
        <f>HDD!B28</f>
        <v>75</v>
      </c>
      <c r="T11" s="36">
        <v>40742</v>
      </c>
      <c r="U11" s="36">
        <v>40771</v>
      </c>
      <c r="V11" s="37">
        <v>29</v>
      </c>
      <c r="W11" s="37">
        <v>4</v>
      </c>
      <c r="X11" s="36">
        <v>40742</v>
      </c>
      <c r="Y11" s="36">
        <v>40771</v>
      </c>
      <c r="Z11" s="37">
        <v>29</v>
      </c>
      <c r="AA11" s="37">
        <v>18</v>
      </c>
      <c r="AB11" s="36">
        <v>41106</v>
      </c>
      <c r="AC11" s="36">
        <v>41136</v>
      </c>
      <c r="AD11" s="37">
        <v>30</v>
      </c>
      <c r="AE11" s="37">
        <v>1</v>
      </c>
    </row>
    <row r="12" spans="1:31">
      <c r="A12" s="1">
        <v>40695</v>
      </c>
      <c r="B12" s="2">
        <v>3</v>
      </c>
      <c r="C12" s="6">
        <v>27</v>
      </c>
      <c r="D12" s="13">
        <f t="shared" si="0"/>
        <v>3</v>
      </c>
      <c r="E12" s="35">
        <f t="shared" si="1"/>
        <v>33</v>
      </c>
      <c r="F12" s="3"/>
      <c r="G12" s="6">
        <f>HDD!B29</f>
        <v>0</v>
      </c>
      <c r="T12" s="36">
        <v>40771</v>
      </c>
      <c r="U12" s="36">
        <v>40802</v>
      </c>
      <c r="V12" s="37">
        <v>31</v>
      </c>
      <c r="W12" s="37">
        <v>4</v>
      </c>
      <c r="X12" s="36">
        <v>40771</v>
      </c>
      <c r="Y12" s="36">
        <v>40802</v>
      </c>
      <c r="Z12" s="37">
        <v>31</v>
      </c>
      <c r="AA12" s="37">
        <v>34</v>
      </c>
    </row>
    <row r="13" spans="1:31">
      <c r="A13" s="1">
        <v>40735</v>
      </c>
      <c r="B13" s="2">
        <v>4</v>
      </c>
      <c r="C13" s="6">
        <v>26</v>
      </c>
      <c r="D13" s="13">
        <f t="shared" si="0"/>
        <v>4</v>
      </c>
      <c r="E13" s="35">
        <f t="shared" si="1"/>
        <v>34</v>
      </c>
      <c r="F13" s="3"/>
      <c r="G13" s="6">
        <f>HDD!B30</f>
        <v>2</v>
      </c>
      <c r="T13" s="36">
        <v>40802</v>
      </c>
      <c r="U13" s="36">
        <v>40829</v>
      </c>
      <c r="V13" s="37">
        <v>27</v>
      </c>
      <c r="W13" s="37">
        <v>4</v>
      </c>
      <c r="X13" s="36">
        <v>40802</v>
      </c>
      <c r="Y13" s="36">
        <v>40829</v>
      </c>
      <c r="Z13" s="37">
        <v>27</v>
      </c>
      <c r="AA13" s="37">
        <v>30</v>
      </c>
    </row>
    <row r="14" spans="1:31">
      <c r="A14" s="1">
        <v>40766</v>
      </c>
      <c r="B14" s="6">
        <v>4</v>
      </c>
      <c r="C14" s="6">
        <v>18</v>
      </c>
      <c r="D14" s="13">
        <f t="shared" si="0"/>
        <v>4</v>
      </c>
      <c r="E14" s="35">
        <f t="shared" si="1"/>
        <v>26</v>
      </c>
      <c r="F14" s="3"/>
      <c r="G14" s="6">
        <f>HDD!B31</f>
        <v>57</v>
      </c>
      <c r="T14" s="36">
        <v>40829</v>
      </c>
      <c r="U14" s="36">
        <v>40862</v>
      </c>
      <c r="V14" s="37">
        <v>33</v>
      </c>
      <c r="W14" s="37">
        <v>4</v>
      </c>
      <c r="X14" s="36">
        <v>40829</v>
      </c>
      <c r="Y14" s="36">
        <v>40862</v>
      </c>
      <c r="Z14" s="37">
        <v>33</v>
      </c>
      <c r="AA14" s="37">
        <v>57</v>
      </c>
    </row>
    <row r="15" spans="1:31">
      <c r="A15" s="1">
        <v>40797</v>
      </c>
      <c r="B15" s="6">
        <v>4</v>
      </c>
      <c r="C15" s="6">
        <v>34</v>
      </c>
      <c r="D15" s="13">
        <f t="shared" si="0"/>
        <v>4</v>
      </c>
      <c r="E15" s="35">
        <f t="shared" si="1"/>
        <v>42</v>
      </c>
      <c r="F15" s="3"/>
      <c r="G15" s="6">
        <f>HDD!B32</f>
        <v>267</v>
      </c>
      <c r="T15" s="36">
        <v>40862</v>
      </c>
      <c r="U15" s="36">
        <v>40891</v>
      </c>
      <c r="V15" s="37">
        <v>29</v>
      </c>
      <c r="W15" s="37">
        <v>4</v>
      </c>
      <c r="X15" s="36">
        <v>40862</v>
      </c>
      <c r="Y15" s="36">
        <v>40891</v>
      </c>
      <c r="Z15" s="37">
        <v>29</v>
      </c>
      <c r="AA15" s="37">
        <v>68</v>
      </c>
    </row>
    <row r="16" spans="1:31">
      <c r="A16" s="1">
        <v>40827</v>
      </c>
      <c r="B16" s="6">
        <v>4</v>
      </c>
      <c r="C16" s="6">
        <v>30</v>
      </c>
      <c r="D16" s="13">
        <f t="shared" si="0"/>
        <v>4</v>
      </c>
      <c r="E16" s="35">
        <f t="shared" si="1"/>
        <v>38</v>
      </c>
      <c r="F16" s="3"/>
      <c r="G16" s="6">
        <f>HDD!B33</f>
        <v>449</v>
      </c>
      <c r="T16" s="36">
        <v>40891</v>
      </c>
      <c r="U16" s="36">
        <v>40925</v>
      </c>
      <c r="V16" s="37">
        <v>34</v>
      </c>
      <c r="W16" s="37">
        <v>4</v>
      </c>
      <c r="X16" s="36">
        <v>40891</v>
      </c>
      <c r="Y16" s="36">
        <v>40925</v>
      </c>
      <c r="Z16" s="37">
        <v>34</v>
      </c>
      <c r="AA16" s="37">
        <v>143</v>
      </c>
    </row>
    <row r="17" spans="1:27">
      <c r="A17" s="1">
        <v>40858</v>
      </c>
      <c r="B17" s="6">
        <v>4</v>
      </c>
      <c r="C17" s="6">
        <v>57</v>
      </c>
      <c r="D17" s="13">
        <f t="shared" si="0"/>
        <v>4</v>
      </c>
      <c r="E17" s="35">
        <f t="shared" si="1"/>
        <v>65</v>
      </c>
      <c r="F17" s="3"/>
      <c r="G17" s="6">
        <f>HDD!B34</f>
        <v>764</v>
      </c>
      <c r="T17" s="36">
        <v>40925</v>
      </c>
      <c r="U17" s="36">
        <v>40952</v>
      </c>
      <c r="V17" s="37">
        <v>27</v>
      </c>
      <c r="W17" s="37">
        <v>4</v>
      </c>
      <c r="X17" s="36">
        <v>40925</v>
      </c>
      <c r="Y17" s="36">
        <v>40952</v>
      </c>
      <c r="Z17" s="37">
        <v>27</v>
      </c>
      <c r="AA17" s="37">
        <v>103</v>
      </c>
    </row>
    <row r="18" spans="1:27">
      <c r="A18" s="1">
        <v>40888</v>
      </c>
      <c r="B18" s="6">
        <v>4</v>
      </c>
      <c r="C18" s="6">
        <v>68</v>
      </c>
      <c r="D18" s="6">
        <v>1</v>
      </c>
      <c r="E18" s="35">
        <f t="shared" si="1"/>
        <v>73</v>
      </c>
      <c r="F18" s="3"/>
      <c r="G18" s="6">
        <f>HDD!B35</f>
        <v>959</v>
      </c>
      <c r="T18" s="36">
        <v>40952</v>
      </c>
      <c r="U18" s="36">
        <v>40982</v>
      </c>
      <c r="V18" s="37">
        <v>30</v>
      </c>
      <c r="W18" s="37">
        <v>4</v>
      </c>
      <c r="X18" s="36">
        <v>40952</v>
      </c>
      <c r="Y18" s="36">
        <v>40982</v>
      </c>
      <c r="Z18" s="37">
        <v>30</v>
      </c>
      <c r="AA18" s="37">
        <v>96</v>
      </c>
    </row>
    <row r="19" spans="1:27">
      <c r="A19" s="1">
        <v>40920</v>
      </c>
      <c r="B19" s="6">
        <v>4</v>
      </c>
      <c r="C19" s="6">
        <v>143</v>
      </c>
      <c r="D19" s="6">
        <v>3</v>
      </c>
      <c r="E19" s="35">
        <f t="shared" si="1"/>
        <v>150</v>
      </c>
      <c r="F19" s="3"/>
      <c r="G19" s="6">
        <f>HDD!B36</f>
        <v>801</v>
      </c>
      <c r="T19" s="36">
        <v>40982</v>
      </c>
      <c r="U19" s="36">
        <v>41016</v>
      </c>
      <c r="V19" s="37">
        <v>34</v>
      </c>
      <c r="W19" s="37">
        <v>4</v>
      </c>
      <c r="X19" s="36">
        <v>40982</v>
      </c>
      <c r="Y19" s="36">
        <v>41016</v>
      </c>
      <c r="Z19" s="37">
        <v>34</v>
      </c>
      <c r="AA19" s="37">
        <v>66</v>
      </c>
    </row>
    <row r="20" spans="1:27">
      <c r="A20" s="1">
        <v>40940</v>
      </c>
      <c r="B20" s="6">
        <v>4</v>
      </c>
      <c r="C20" s="6">
        <v>103</v>
      </c>
      <c r="D20" s="6">
        <v>3</v>
      </c>
      <c r="E20" s="35">
        <f t="shared" si="1"/>
        <v>110</v>
      </c>
      <c r="F20" s="3"/>
      <c r="G20" s="6">
        <f>HDD!B37</f>
        <v>608</v>
      </c>
      <c r="T20" s="36">
        <v>41016</v>
      </c>
      <c r="U20" s="36">
        <v>41044</v>
      </c>
      <c r="V20" s="37">
        <v>28</v>
      </c>
      <c r="W20" s="37">
        <v>3</v>
      </c>
      <c r="X20" s="36">
        <v>41016</v>
      </c>
      <c r="Y20" s="36">
        <v>41044</v>
      </c>
      <c r="Z20" s="37">
        <v>28</v>
      </c>
      <c r="AA20" s="37">
        <v>43</v>
      </c>
    </row>
    <row r="21" spans="1:27">
      <c r="A21" s="1">
        <v>40969</v>
      </c>
      <c r="B21" s="6">
        <v>4</v>
      </c>
      <c r="C21" s="6">
        <v>96</v>
      </c>
      <c r="D21" s="6">
        <v>3</v>
      </c>
      <c r="E21" s="35">
        <f t="shared" si="1"/>
        <v>103</v>
      </c>
      <c r="F21" s="3"/>
      <c r="G21" s="6">
        <f>HDD!B38</f>
        <v>398</v>
      </c>
      <c r="T21" s="36">
        <v>41044</v>
      </c>
      <c r="U21" s="36">
        <v>41074</v>
      </c>
      <c r="V21" s="37">
        <v>30</v>
      </c>
      <c r="W21" s="37">
        <v>4</v>
      </c>
      <c r="X21" s="36">
        <v>41044</v>
      </c>
      <c r="Y21" s="36">
        <v>41074</v>
      </c>
      <c r="Z21" s="37">
        <v>30</v>
      </c>
      <c r="AA21" s="37">
        <v>33</v>
      </c>
    </row>
    <row r="22" spans="1:27">
      <c r="A22" s="1">
        <v>41000</v>
      </c>
      <c r="B22" s="6">
        <v>4</v>
      </c>
      <c r="C22" s="6">
        <v>66</v>
      </c>
      <c r="D22" s="6">
        <v>2</v>
      </c>
      <c r="E22" s="35">
        <f t="shared" si="1"/>
        <v>72</v>
      </c>
      <c r="F22" s="3"/>
      <c r="G22" s="6">
        <f>HDD!B39</f>
        <v>204</v>
      </c>
      <c r="T22" s="36">
        <v>41074</v>
      </c>
      <c r="U22" s="36">
        <v>41106</v>
      </c>
      <c r="V22" s="37">
        <v>32</v>
      </c>
      <c r="W22" s="37">
        <v>4</v>
      </c>
      <c r="X22" s="36">
        <v>41074</v>
      </c>
      <c r="Y22" s="36">
        <v>41106</v>
      </c>
      <c r="Z22" s="37">
        <v>32</v>
      </c>
      <c r="AA22" s="37">
        <v>25</v>
      </c>
    </row>
    <row r="23" spans="1:27">
      <c r="A23" s="1">
        <v>41030</v>
      </c>
      <c r="B23" s="6">
        <v>3</v>
      </c>
      <c r="C23" s="6">
        <v>43</v>
      </c>
      <c r="D23" s="6">
        <v>3</v>
      </c>
      <c r="E23" s="35">
        <f t="shared" si="1"/>
        <v>49</v>
      </c>
      <c r="F23" s="3"/>
      <c r="G23" s="6">
        <f>HDD!B40</f>
        <v>94</v>
      </c>
      <c r="T23" s="36">
        <v>41106</v>
      </c>
      <c r="U23" s="36">
        <v>41136</v>
      </c>
      <c r="V23" s="37">
        <v>30</v>
      </c>
      <c r="W23" s="37">
        <v>4</v>
      </c>
      <c r="X23" s="36">
        <v>41106</v>
      </c>
      <c r="Y23" s="36">
        <v>41136</v>
      </c>
      <c r="Z23" s="37">
        <v>30</v>
      </c>
      <c r="AA23" s="37">
        <v>26</v>
      </c>
    </row>
    <row r="24" spans="1:27">
      <c r="A24" s="1">
        <v>41061</v>
      </c>
      <c r="B24" s="6">
        <v>4</v>
      </c>
      <c r="C24" s="6">
        <v>33</v>
      </c>
      <c r="D24" s="6">
        <v>2</v>
      </c>
      <c r="E24" s="35">
        <f t="shared" si="1"/>
        <v>39</v>
      </c>
      <c r="F24" s="3"/>
      <c r="G24" s="6">
        <f>HDD!B41</f>
        <v>2</v>
      </c>
    </row>
    <row r="25" spans="1:27">
      <c r="A25" s="1">
        <v>41091</v>
      </c>
      <c r="B25" s="6">
        <v>4</v>
      </c>
      <c r="C25" s="6">
        <v>25</v>
      </c>
      <c r="D25" s="6">
        <v>2</v>
      </c>
      <c r="E25" s="35">
        <f t="shared" si="1"/>
        <v>31</v>
      </c>
      <c r="F25" s="3"/>
      <c r="G25" s="6">
        <f>HDD!B42</f>
        <v>2</v>
      </c>
    </row>
    <row r="26" spans="1:27">
      <c r="A26" s="1">
        <v>41122</v>
      </c>
      <c r="B26" s="6">
        <v>4</v>
      </c>
      <c r="C26" s="6">
        <v>26</v>
      </c>
      <c r="D26" s="6">
        <v>1</v>
      </c>
      <c r="E26" s="35">
        <f t="shared" si="1"/>
        <v>31</v>
      </c>
      <c r="F26" s="3"/>
      <c r="G26" s="6">
        <f>HDD!B43</f>
        <v>0</v>
      </c>
    </row>
    <row r="27" spans="1:27">
      <c r="B27" s="6"/>
      <c r="C27" s="6"/>
      <c r="D27" s="6"/>
      <c r="E27" s="35">
        <f t="shared" si="1"/>
        <v>0</v>
      </c>
      <c r="G27" s="6">
        <f>HDD!B44</f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topLeftCell="A5" workbookViewId="0">
      <selection activeCell="D14" sqref="D14"/>
    </sheetView>
  </sheetViews>
  <sheetFormatPr defaultRowHeight="15"/>
  <cols>
    <col min="1" max="1" width="10.42578125" bestFit="1" customWidth="1"/>
    <col min="2" max="2" width="9.85546875" customWidth="1"/>
    <col min="4" max="4" width="15.28515625" customWidth="1"/>
    <col min="5" max="5" width="11.42578125" customWidth="1"/>
  </cols>
  <sheetData>
    <row r="1" spans="1:8">
      <c r="B1" s="13" t="s">
        <v>45</v>
      </c>
    </row>
    <row r="3" spans="1:8">
      <c r="B3" s="13" t="s">
        <v>46</v>
      </c>
    </row>
    <row r="4" spans="1:8">
      <c r="B4" s="126" t="s">
        <v>2</v>
      </c>
      <c r="C4" s="126"/>
      <c r="E4" t="s">
        <v>3</v>
      </c>
    </row>
    <row r="5" spans="1:8">
      <c r="B5" s="13" t="s">
        <v>33</v>
      </c>
      <c r="C5" s="13" t="s">
        <v>44</v>
      </c>
      <c r="D5" t="s">
        <v>4</v>
      </c>
      <c r="E5" s="13" t="s">
        <v>68</v>
      </c>
      <c r="F5" t="s">
        <v>1</v>
      </c>
      <c r="G5" t="s">
        <v>5</v>
      </c>
    </row>
    <row r="6" spans="1:8">
      <c r="A6" s="1" t="s">
        <v>31</v>
      </c>
    </row>
    <row r="7" spans="1:8">
      <c r="A7" s="1">
        <v>40544</v>
      </c>
      <c r="B7" s="4"/>
      <c r="C7" s="5"/>
      <c r="D7" s="25">
        <f>SUM(B7+C7-E7)</f>
        <v>0</v>
      </c>
      <c r="E7" s="7"/>
      <c r="F7">
        <f>HDD!B24</f>
        <v>964</v>
      </c>
      <c r="G7">
        <f>CDD!B14</f>
        <v>0</v>
      </c>
    </row>
    <row r="8" spans="1:8">
      <c r="A8" s="1">
        <v>40575</v>
      </c>
      <c r="B8" s="4"/>
      <c r="C8" s="5"/>
      <c r="D8" s="25">
        <f t="shared" ref="D8:D26" si="0">SUM(B8+C8-E8)</f>
        <v>0</v>
      </c>
      <c r="E8" s="7"/>
      <c r="F8" s="9">
        <f>HDD!B25</f>
        <v>813</v>
      </c>
      <c r="G8" s="9">
        <f>CDD!B15</f>
        <v>1</v>
      </c>
    </row>
    <row r="9" spans="1:8">
      <c r="A9" s="1">
        <v>40603</v>
      </c>
      <c r="B9" s="4"/>
      <c r="C9" s="5"/>
      <c r="D9" s="25">
        <f t="shared" si="0"/>
        <v>0</v>
      </c>
      <c r="E9" s="7"/>
      <c r="F9" s="9">
        <f>HDD!B26</f>
        <v>468</v>
      </c>
      <c r="G9" s="9">
        <f>CDD!B16</f>
        <v>8</v>
      </c>
      <c r="H9" s="13"/>
    </row>
    <row r="10" spans="1:8">
      <c r="A10" s="1">
        <v>40634</v>
      </c>
      <c r="B10" s="4"/>
      <c r="C10" s="5"/>
      <c r="D10" s="25">
        <f t="shared" si="0"/>
        <v>0</v>
      </c>
      <c r="E10" s="7"/>
      <c r="F10" s="9">
        <f>HDD!B27</f>
        <v>255</v>
      </c>
      <c r="G10" s="9">
        <f>CDD!B17</f>
        <v>50</v>
      </c>
    </row>
    <row r="11" spans="1:8">
      <c r="A11" s="1">
        <v>40664</v>
      </c>
      <c r="B11" s="4"/>
      <c r="C11" s="5"/>
      <c r="D11" s="25">
        <f t="shared" si="0"/>
        <v>0</v>
      </c>
      <c r="E11" s="7"/>
      <c r="F11" s="9">
        <f>HDD!B28</f>
        <v>75</v>
      </c>
      <c r="G11" s="9">
        <f>CDD!B18</f>
        <v>130</v>
      </c>
    </row>
    <row r="12" spans="1:8">
      <c r="A12" s="1">
        <v>40695</v>
      </c>
      <c r="B12" s="4"/>
      <c r="C12" s="5"/>
      <c r="D12" s="25">
        <f t="shared" si="0"/>
        <v>0</v>
      </c>
      <c r="E12" s="7"/>
      <c r="F12" s="9">
        <f>HDD!B29</f>
        <v>0</v>
      </c>
      <c r="G12" s="9">
        <f>CDD!B19</f>
        <v>374</v>
      </c>
    </row>
    <row r="13" spans="1:8">
      <c r="A13" s="1">
        <v>40731</v>
      </c>
      <c r="B13" s="17"/>
      <c r="C13" s="17"/>
      <c r="D13" s="25">
        <f t="shared" si="0"/>
        <v>0</v>
      </c>
      <c r="E13" s="17"/>
      <c r="F13" s="13">
        <f>HDD!B30</f>
        <v>2</v>
      </c>
      <c r="G13" s="13">
        <f>CDD!B20</f>
        <v>260</v>
      </c>
      <c r="H13" s="13" t="s">
        <v>30</v>
      </c>
    </row>
    <row r="14" spans="1:8">
      <c r="A14" s="1">
        <v>40764</v>
      </c>
      <c r="B14" s="17">
        <f>225/12</f>
        <v>18.75</v>
      </c>
      <c r="C14" s="17">
        <v>514</v>
      </c>
      <c r="D14" s="25">
        <f t="shared" si="0"/>
        <v>568.75</v>
      </c>
      <c r="E14" s="17">
        <f t="shared" ref="E14:E16" si="1">-D35</f>
        <v>-36</v>
      </c>
      <c r="F14" s="13">
        <f>HDD!B31</f>
        <v>57</v>
      </c>
      <c r="G14" s="13">
        <f>CDD!B21</f>
        <v>115</v>
      </c>
    </row>
    <row r="15" spans="1:8">
      <c r="A15" s="1">
        <v>40794</v>
      </c>
      <c r="B15" s="17">
        <f>225/12</f>
        <v>18.75</v>
      </c>
      <c r="C15" s="17">
        <v>426</v>
      </c>
      <c r="D15" s="25">
        <f t="shared" si="0"/>
        <v>501.75</v>
      </c>
      <c r="E15" s="17">
        <f t="shared" si="1"/>
        <v>-57</v>
      </c>
      <c r="F15" s="13">
        <f>HDD!B32</f>
        <v>267</v>
      </c>
      <c r="G15" s="13">
        <f>CDD!B22</f>
        <v>29</v>
      </c>
    </row>
    <row r="16" spans="1:8">
      <c r="A16" s="1">
        <v>40823</v>
      </c>
      <c r="B16" s="17">
        <f t="shared" ref="B16:B25" si="2">225/12</f>
        <v>18.75</v>
      </c>
      <c r="C16" s="17">
        <v>385</v>
      </c>
      <c r="D16" s="25">
        <f t="shared" si="0"/>
        <v>485.75</v>
      </c>
      <c r="E16" s="17">
        <f t="shared" si="1"/>
        <v>-82</v>
      </c>
      <c r="F16" s="13">
        <f>HDD!B33</f>
        <v>449</v>
      </c>
      <c r="G16" s="13">
        <f>CDD!B23</f>
        <v>1</v>
      </c>
    </row>
    <row r="17" spans="1:9">
      <c r="A17" s="1">
        <v>40855</v>
      </c>
      <c r="B17" s="17">
        <f t="shared" si="2"/>
        <v>18.75</v>
      </c>
      <c r="C17" s="17">
        <v>177</v>
      </c>
      <c r="D17" s="25">
        <f t="shared" si="0"/>
        <v>498.98999999999995</v>
      </c>
      <c r="E17" s="17">
        <f>-D38</f>
        <v>-303.23999999999995</v>
      </c>
      <c r="F17" s="13">
        <f>HDD!B34</f>
        <v>764</v>
      </c>
      <c r="G17" s="13">
        <f>CDD!B24</f>
        <v>0</v>
      </c>
    </row>
    <row r="18" spans="1:9">
      <c r="A18" s="1">
        <v>40885</v>
      </c>
      <c r="B18" s="17">
        <f t="shared" si="2"/>
        <v>18.75</v>
      </c>
      <c r="C18" s="17">
        <v>-134</v>
      </c>
      <c r="D18" s="25">
        <f t="shared" si="0"/>
        <v>532.27</v>
      </c>
      <c r="E18" s="17">
        <f t="shared" ref="E18:E20" si="3">-D39</f>
        <v>-647.52</v>
      </c>
      <c r="F18" s="13">
        <f>HDD!B35</f>
        <v>959</v>
      </c>
      <c r="G18" s="13">
        <f>CDD!B25</f>
        <v>0</v>
      </c>
    </row>
    <row r="19" spans="1:9">
      <c r="A19" s="1">
        <v>40918</v>
      </c>
      <c r="B19" s="17">
        <f t="shared" si="2"/>
        <v>18.75</v>
      </c>
      <c r="C19" s="17">
        <v>34</v>
      </c>
      <c r="D19" s="25">
        <f t="shared" si="0"/>
        <v>651.25</v>
      </c>
      <c r="E19" s="17">
        <f t="shared" si="3"/>
        <v>-598.5</v>
      </c>
      <c r="F19" s="13">
        <f>HDD!B36</f>
        <v>801</v>
      </c>
      <c r="G19" s="13">
        <f>CDD!B26</f>
        <v>0</v>
      </c>
    </row>
    <row r="20" spans="1:9">
      <c r="A20" s="1">
        <v>40947</v>
      </c>
      <c r="B20" s="17">
        <f t="shared" si="2"/>
        <v>18.75</v>
      </c>
      <c r="C20" s="17">
        <v>30</v>
      </c>
      <c r="D20" s="25">
        <f t="shared" si="0"/>
        <v>442.04999999999995</v>
      </c>
      <c r="E20" s="17">
        <f t="shared" si="3"/>
        <v>-393.29999999999995</v>
      </c>
      <c r="F20" s="13">
        <f>HDD!B37</f>
        <v>608</v>
      </c>
      <c r="G20" s="13">
        <f>CDD!B27</f>
        <v>18</v>
      </c>
    </row>
    <row r="21" spans="1:9">
      <c r="A21" s="1">
        <v>40977</v>
      </c>
      <c r="B21" s="17">
        <f t="shared" si="2"/>
        <v>18.75</v>
      </c>
      <c r="C21" s="17">
        <v>183</v>
      </c>
      <c r="D21" s="25">
        <f t="shared" si="0"/>
        <v>491.69</v>
      </c>
      <c r="E21" s="17">
        <f>-D44/3</f>
        <v>-289.94</v>
      </c>
      <c r="F21" s="13">
        <f>HDD!B38</f>
        <v>398</v>
      </c>
      <c r="G21" s="13">
        <f>CDD!B28</f>
        <v>25</v>
      </c>
    </row>
    <row r="22" spans="1:9">
      <c r="A22" s="1">
        <v>41005</v>
      </c>
      <c r="B22" s="17">
        <f t="shared" si="2"/>
        <v>18.75</v>
      </c>
      <c r="C22" s="17">
        <v>170</v>
      </c>
      <c r="D22" s="25">
        <f t="shared" si="0"/>
        <v>478.69</v>
      </c>
      <c r="E22" s="17">
        <f>-D44/3</f>
        <v>-289.94</v>
      </c>
      <c r="F22" s="13">
        <f>HDD!B39</f>
        <v>204</v>
      </c>
      <c r="G22" s="13">
        <f>CDD!B29</f>
        <v>42</v>
      </c>
    </row>
    <row r="23" spans="1:9">
      <c r="A23" s="1">
        <v>41038</v>
      </c>
      <c r="B23" s="17">
        <f t="shared" si="2"/>
        <v>18.75</v>
      </c>
      <c r="C23" s="17">
        <v>282</v>
      </c>
      <c r="D23" s="25">
        <f t="shared" si="0"/>
        <v>590.69000000000005</v>
      </c>
      <c r="E23" s="17">
        <f>-D44/3</f>
        <v>-289.94</v>
      </c>
      <c r="F23" s="13">
        <f>HDD!B40</f>
        <v>94</v>
      </c>
      <c r="G23" s="13">
        <f>CDD!B30</f>
        <v>142</v>
      </c>
    </row>
    <row r="24" spans="1:9">
      <c r="A24" s="1">
        <v>41068</v>
      </c>
      <c r="B24" s="17">
        <f t="shared" si="2"/>
        <v>18.75</v>
      </c>
      <c r="C24" s="17">
        <v>311</v>
      </c>
      <c r="D24" s="25">
        <f t="shared" si="0"/>
        <v>451.75</v>
      </c>
      <c r="E24" s="19">
        <f>-D45</f>
        <v>-122</v>
      </c>
      <c r="F24" s="13">
        <f>HDD!B41</f>
        <v>2</v>
      </c>
      <c r="G24" s="13">
        <f>CDD!B31</f>
        <v>304</v>
      </c>
      <c r="H24" s="13"/>
    </row>
    <row r="25" spans="1:9">
      <c r="A25" s="1">
        <v>41100</v>
      </c>
      <c r="B25" s="17">
        <f t="shared" si="2"/>
        <v>18.75</v>
      </c>
      <c r="C25" s="18">
        <v>390</v>
      </c>
      <c r="D25" s="25">
        <f t="shared" si="0"/>
        <v>459.75</v>
      </c>
      <c r="E25" s="18">
        <f>-D46</f>
        <v>-51</v>
      </c>
      <c r="F25" s="13">
        <f>HDD!B42</f>
        <v>2</v>
      </c>
      <c r="G25" s="13">
        <f>CDD!B32</f>
        <v>293</v>
      </c>
    </row>
    <row r="26" spans="1:9">
      <c r="A26" s="1">
        <v>41122</v>
      </c>
      <c r="B26" s="16"/>
      <c r="C26" s="16"/>
      <c r="D26" s="25">
        <f t="shared" si="0"/>
        <v>0</v>
      </c>
      <c r="E26" s="16"/>
    </row>
    <row r="30" spans="1:9">
      <c r="B30" s="13" t="s">
        <v>72</v>
      </c>
    </row>
    <row r="31" spans="1:9" s="13" customFormat="1">
      <c r="E31" s="13" t="s">
        <v>73</v>
      </c>
      <c r="H31" s="13">
        <v>1.2</v>
      </c>
      <c r="I31" s="13" t="s">
        <v>75</v>
      </c>
    </row>
    <row r="32" spans="1:9">
      <c r="E32" s="13" t="s">
        <v>74</v>
      </c>
      <c r="H32">
        <v>0.95</v>
      </c>
    </row>
    <row r="33" spans="1:7">
      <c r="B33" s="13" t="s">
        <v>69</v>
      </c>
      <c r="C33" s="13" t="s">
        <v>70</v>
      </c>
      <c r="D33" s="13" t="s">
        <v>71</v>
      </c>
      <c r="G33" s="13" t="s">
        <v>76</v>
      </c>
    </row>
    <row r="34" spans="1:7" s="13" customFormat="1">
      <c r="A34" s="1">
        <v>40575</v>
      </c>
      <c r="B34" s="13">
        <v>6173</v>
      </c>
    </row>
    <row r="35" spans="1:7">
      <c r="A35" s="1">
        <v>40764</v>
      </c>
      <c r="D35">
        <v>36</v>
      </c>
    </row>
    <row r="36" spans="1:7">
      <c r="A36" s="1">
        <v>40794</v>
      </c>
      <c r="D36">
        <v>57</v>
      </c>
    </row>
    <row r="37" spans="1:7">
      <c r="A37" s="1">
        <v>40823</v>
      </c>
      <c r="B37">
        <v>6499</v>
      </c>
      <c r="D37">
        <v>82</v>
      </c>
    </row>
    <row r="38" spans="1:7">
      <c r="A38" s="1">
        <v>40855</v>
      </c>
      <c r="B38">
        <v>6765</v>
      </c>
      <c r="C38">
        <f>B38-B37</f>
        <v>266</v>
      </c>
      <c r="D38">
        <f>C38*$H$31*$H$32</f>
        <v>303.23999999999995</v>
      </c>
      <c r="G38">
        <f>D38/F17</f>
        <v>0.39691099476439784</v>
      </c>
    </row>
    <row r="39" spans="1:7">
      <c r="A39" s="1">
        <v>40885</v>
      </c>
      <c r="B39">
        <v>7333</v>
      </c>
      <c r="C39" s="13">
        <f t="shared" ref="C39:C41" si="4">B39-B38</f>
        <v>568</v>
      </c>
      <c r="D39" s="13">
        <f>C39*$H$31*$H$32</f>
        <v>647.52</v>
      </c>
      <c r="G39" s="13">
        <f t="shared" ref="G39:G41" si="5">D39/F18</f>
        <v>0.67520333680917621</v>
      </c>
    </row>
    <row r="40" spans="1:7">
      <c r="A40" s="1">
        <v>40918</v>
      </c>
      <c r="B40">
        <v>7858</v>
      </c>
      <c r="C40" s="13">
        <f t="shared" si="4"/>
        <v>525</v>
      </c>
      <c r="D40" s="13">
        <f>C40*$H$31*$H$32</f>
        <v>598.5</v>
      </c>
      <c r="G40" s="13">
        <f t="shared" si="5"/>
        <v>0.7471910112359551</v>
      </c>
    </row>
    <row r="41" spans="1:7">
      <c r="A41" s="1">
        <v>40947</v>
      </c>
      <c r="B41">
        <v>8203</v>
      </c>
      <c r="C41" s="13">
        <f t="shared" si="4"/>
        <v>345</v>
      </c>
      <c r="D41" s="13">
        <f>C41*$H$31*$H$32</f>
        <v>393.29999999999995</v>
      </c>
      <c r="G41" s="13">
        <f t="shared" si="5"/>
        <v>0.64687499999999998</v>
      </c>
    </row>
    <row r="42" spans="1:7">
      <c r="A42" s="1">
        <v>40977</v>
      </c>
      <c r="G42" s="13"/>
    </row>
    <row r="43" spans="1:7">
      <c r="A43" s="1">
        <v>41005</v>
      </c>
      <c r="D43" s="13"/>
    </row>
    <row r="44" spans="1:7">
      <c r="A44" s="1">
        <v>41038</v>
      </c>
      <c r="B44">
        <v>8966</v>
      </c>
      <c r="C44">
        <f>B44-B41</f>
        <v>763</v>
      </c>
      <c r="D44" s="13">
        <f>C44*$H$31*$H$32</f>
        <v>869.81999999999994</v>
      </c>
      <c r="G44">
        <f>D44/SUM(F21:F23)</f>
        <v>1.2497413793103447</v>
      </c>
    </row>
    <row r="45" spans="1:7">
      <c r="A45" s="1">
        <v>41068</v>
      </c>
      <c r="D45">
        <v>122</v>
      </c>
    </row>
    <row r="46" spans="1:7">
      <c r="A46" s="1">
        <v>41100</v>
      </c>
      <c r="D46">
        <v>51</v>
      </c>
    </row>
  </sheetData>
  <mergeCells count="1">
    <mergeCell ref="B4:C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2"/>
  <sheetViews>
    <sheetView tabSelected="1" topLeftCell="I35" zoomScale="120" zoomScaleNormal="120" workbookViewId="0">
      <selection activeCell="O17" sqref="O17"/>
    </sheetView>
  </sheetViews>
  <sheetFormatPr defaultRowHeight="15"/>
  <cols>
    <col min="5" max="5" width="11" customWidth="1"/>
    <col min="8" max="9" width="9.140625" style="13"/>
    <col min="15" max="15" width="9.140625" style="13"/>
    <col min="19" max="19" width="9.140625" style="13"/>
    <col min="21" max="21" width="9.140625" style="13"/>
    <col min="27" max="27" width="9.140625" style="13"/>
  </cols>
  <sheetData>
    <row r="1" spans="2:30">
      <c r="C1" s="13" t="s">
        <v>25</v>
      </c>
      <c r="E1" s="22">
        <f>1/E3</f>
        <v>292.99736302373282</v>
      </c>
    </row>
    <row r="2" spans="2:30">
      <c r="C2" s="13" t="s">
        <v>22</v>
      </c>
      <c r="E2" s="20">
        <f>100000/1000000</f>
        <v>0.1</v>
      </c>
    </row>
    <row r="3" spans="2:30">
      <c r="C3" s="13" t="s">
        <v>21</v>
      </c>
      <c r="E3">
        <f>3413/1000000</f>
        <v>3.4129999999999998E-3</v>
      </c>
    </row>
    <row r="4" spans="2:30">
      <c r="B4" s="13" t="s">
        <v>24</v>
      </c>
      <c r="E4">
        <v>3.34</v>
      </c>
    </row>
    <row r="5" spans="2:30">
      <c r="B5" s="13" t="s">
        <v>23</v>
      </c>
      <c r="E5">
        <v>1.0469999999999999</v>
      </c>
    </row>
    <row r="6" spans="2:30">
      <c r="Y6" s="13" t="s">
        <v>27</v>
      </c>
      <c r="AB6" s="13" t="s">
        <v>29</v>
      </c>
    </row>
    <row r="7" spans="2:30">
      <c r="C7" s="13" t="s">
        <v>47</v>
      </c>
      <c r="J7" s="13"/>
      <c r="K7" s="126" t="s">
        <v>2</v>
      </c>
      <c r="L7" s="126"/>
      <c r="M7" s="13" t="s">
        <v>26</v>
      </c>
      <c r="N7" s="13"/>
      <c r="P7" s="13"/>
      <c r="Q7" s="13" t="s">
        <v>82</v>
      </c>
      <c r="R7" s="13" t="s">
        <v>83</v>
      </c>
      <c r="S7" s="13" t="s">
        <v>18</v>
      </c>
      <c r="T7" s="13" t="s">
        <v>84</v>
      </c>
      <c r="U7" s="13" t="s">
        <v>83</v>
      </c>
    </row>
    <row r="8" spans="2:30" s="123" customFormat="1" ht="60">
      <c r="C8" s="123" t="s">
        <v>0</v>
      </c>
      <c r="D8" s="123" t="s">
        <v>18</v>
      </c>
      <c r="E8" s="123" t="s">
        <v>19</v>
      </c>
      <c r="G8" s="123" t="s">
        <v>17</v>
      </c>
      <c r="H8" s="123" t="s">
        <v>20</v>
      </c>
      <c r="K8" s="7" t="str">
        <f>Elec!B5</f>
        <v>Unit 1</v>
      </c>
      <c r="L8" s="7" t="str">
        <f>Elec!C5</f>
        <v>Units 2&amp;3</v>
      </c>
      <c r="M8" s="123" t="s">
        <v>4</v>
      </c>
      <c r="N8" s="123" t="s">
        <v>77</v>
      </c>
      <c r="O8" s="123" t="s">
        <v>119</v>
      </c>
      <c r="Q8" s="123" t="s">
        <v>81</v>
      </c>
      <c r="T8" s="123" t="s">
        <v>85</v>
      </c>
      <c r="U8" s="123" t="s">
        <v>85</v>
      </c>
      <c r="V8" s="123" t="s">
        <v>1</v>
      </c>
      <c r="W8" s="123" t="s">
        <v>5</v>
      </c>
      <c r="Y8" s="123" t="s">
        <v>28</v>
      </c>
      <c r="Z8" s="123" t="s">
        <v>86</v>
      </c>
      <c r="AA8" s="123" t="s">
        <v>83</v>
      </c>
      <c r="AB8" s="123" t="s">
        <v>28</v>
      </c>
      <c r="AC8" s="123" t="s">
        <v>86</v>
      </c>
      <c r="AD8" s="123" t="s">
        <v>83</v>
      </c>
    </row>
    <row r="9" spans="2:30">
      <c r="J9" s="1"/>
      <c r="K9" s="13"/>
      <c r="L9" s="13"/>
      <c r="M9" s="13"/>
      <c r="N9" s="13"/>
      <c r="V9" s="13"/>
      <c r="W9" s="13"/>
    </row>
    <row r="10" spans="2:30">
      <c r="B10" s="1">
        <v>40544</v>
      </c>
      <c r="C10" s="3">
        <f>Gas!E7</f>
        <v>366</v>
      </c>
      <c r="D10" s="21">
        <f>C10*E$2</f>
        <v>36.6</v>
      </c>
      <c r="E10" s="22">
        <f t="shared" ref="E10:E28" si="0">D10*E$5</f>
        <v>38.3202</v>
      </c>
      <c r="G10" s="22">
        <f t="shared" ref="G10:G28" si="1">D10*E$1</f>
        <v>10723.703486668621</v>
      </c>
      <c r="H10" s="22">
        <f t="shared" ref="H10:H28" si="2">E10*E$1</f>
        <v>11227.717550542046</v>
      </c>
      <c r="I10" s="22"/>
      <c r="J10" s="1">
        <v>40544</v>
      </c>
      <c r="K10" s="7">
        <f>Elec!B7</f>
        <v>0</v>
      </c>
      <c r="L10" s="7">
        <f>Elec!C7</f>
        <v>0</v>
      </c>
      <c r="M10" s="24">
        <f>Elec!D7</f>
        <v>0</v>
      </c>
      <c r="N10" s="7">
        <f>-(Elec!E7)</f>
        <v>0</v>
      </c>
      <c r="O10" s="121"/>
      <c r="Q10" s="22">
        <f>M10*$E$4</f>
        <v>0</v>
      </c>
      <c r="S10" s="22">
        <f t="shared" ref="S10:S28" si="3">M10*E$3</f>
        <v>0</v>
      </c>
      <c r="T10" s="22">
        <f t="shared" ref="T10:T15" si="4">M10*$E$4*$E$3</f>
        <v>0</v>
      </c>
      <c r="U10" s="22"/>
      <c r="V10" s="13">
        <f>HDD!B24</f>
        <v>964</v>
      </c>
      <c r="W10" s="13">
        <f>CDD!B14</f>
        <v>0</v>
      </c>
      <c r="Y10" s="22">
        <f t="shared" ref="Y10:Y28" si="5">G10+M10</f>
        <v>10723.703486668621</v>
      </c>
      <c r="Z10" s="22">
        <f t="shared" ref="Z10:Z28" si="6">H10+Q10</f>
        <v>11227.717550542046</v>
      </c>
      <c r="AA10" s="22"/>
      <c r="AB10" s="22">
        <f t="shared" ref="AB10:AB28" si="7">D10+S10</f>
        <v>36.6</v>
      </c>
      <c r="AC10" s="22">
        <f t="shared" ref="AC10:AC28" si="8">E10+T10</f>
        <v>38.3202</v>
      </c>
    </row>
    <row r="11" spans="2:30">
      <c r="B11" s="1">
        <v>40575</v>
      </c>
      <c r="C11" s="3">
        <f>Gas!E8</f>
        <v>374</v>
      </c>
      <c r="D11" s="21">
        <f t="shared" ref="D11:D28" si="9">C11*E$2</f>
        <v>37.4</v>
      </c>
      <c r="E11" s="22">
        <f t="shared" si="0"/>
        <v>39.157799999999995</v>
      </c>
      <c r="G11" s="22">
        <f t="shared" si="1"/>
        <v>10958.101377087607</v>
      </c>
      <c r="H11" s="22">
        <f t="shared" si="2"/>
        <v>11473.132141810724</v>
      </c>
      <c r="I11" s="22"/>
      <c r="J11" s="1">
        <v>40575</v>
      </c>
      <c r="K11" s="7">
        <f>Elec!B8</f>
        <v>0</v>
      </c>
      <c r="L11" s="7">
        <f>Elec!C8</f>
        <v>0</v>
      </c>
      <c r="M11" s="24">
        <f>Elec!D8</f>
        <v>0</v>
      </c>
      <c r="N11" s="7">
        <f>-(Elec!E8)</f>
        <v>0</v>
      </c>
      <c r="O11" s="121"/>
      <c r="Q11" s="22">
        <f t="shared" ref="Q11:Q28" si="10">M11*$E$4</f>
        <v>0</v>
      </c>
      <c r="S11" s="22">
        <f t="shared" si="3"/>
        <v>0</v>
      </c>
      <c r="T11" s="22">
        <f t="shared" si="4"/>
        <v>0</v>
      </c>
      <c r="U11" s="22"/>
      <c r="V11" s="13">
        <f>HDD!B25</f>
        <v>813</v>
      </c>
      <c r="W11" s="13">
        <f>CDD!B15</f>
        <v>1</v>
      </c>
      <c r="Y11" s="22">
        <f t="shared" si="5"/>
        <v>10958.101377087607</v>
      </c>
      <c r="Z11" s="22">
        <f t="shared" si="6"/>
        <v>11473.132141810724</v>
      </c>
      <c r="AA11" s="22"/>
      <c r="AB11" s="22">
        <f t="shared" si="7"/>
        <v>37.4</v>
      </c>
      <c r="AC11" s="22">
        <f t="shared" si="8"/>
        <v>39.157799999999995</v>
      </c>
    </row>
    <row r="12" spans="2:30">
      <c r="B12" s="1">
        <v>40603</v>
      </c>
      <c r="C12" s="3">
        <f>Gas!E9</f>
        <v>312</v>
      </c>
      <c r="D12" s="21">
        <f t="shared" si="9"/>
        <v>31.200000000000003</v>
      </c>
      <c r="E12" s="22">
        <f t="shared" si="0"/>
        <v>32.666400000000003</v>
      </c>
      <c r="G12" s="22">
        <f t="shared" si="1"/>
        <v>9141.5177263404639</v>
      </c>
      <c r="H12" s="22">
        <f t="shared" si="2"/>
        <v>9571.1690594784668</v>
      </c>
      <c r="I12" s="22"/>
      <c r="J12" s="1">
        <v>40603</v>
      </c>
      <c r="K12" s="7">
        <f>Elec!B9</f>
        <v>0</v>
      </c>
      <c r="L12" s="7">
        <f>Elec!C9</f>
        <v>0</v>
      </c>
      <c r="M12" s="24">
        <f>Elec!D9</f>
        <v>0</v>
      </c>
      <c r="N12" s="7">
        <f>-(Elec!E9)</f>
        <v>0</v>
      </c>
      <c r="O12" s="121"/>
      <c r="Q12" s="22">
        <f t="shared" si="10"/>
        <v>0</v>
      </c>
      <c r="S12" s="22">
        <f t="shared" si="3"/>
        <v>0</v>
      </c>
      <c r="T12" s="22">
        <f t="shared" si="4"/>
        <v>0</v>
      </c>
      <c r="U12" s="22"/>
      <c r="V12" s="13">
        <f>HDD!B26</f>
        <v>468</v>
      </c>
      <c r="W12" s="13">
        <f>CDD!B16</f>
        <v>8</v>
      </c>
      <c r="Y12" s="22">
        <f t="shared" si="5"/>
        <v>9141.5177263404639</v>
      </c>
      <c r="Z12" s="22">
        <f t="shared" si="6"/>
        <v>9571.1690594784668</v>
      </c>
      <c r="AA12" s="22"/>
      <c r="AB12" s="22">
        <f t="shared" si="7"/>
        <v>31.200000000000003</v>
      </c>
      <c r="AC12" s="22">
        <f t="shared" si="8"/>
        <v>32.666400000000003</v>
      </c>
    </row>
    <row r="13" spans="2:30">
      <c r="B13" s="1">
        <v>40634</v>
      </c>
      <c r="C13" s="3">
        <f>Gas!E10</f>
        <v>215</v>
      </c>
      <c r="D13" s="21">
        <f t="shared" si="9"/>
        <v>21.5</v>
      </c>
      <c r="E13" s="22">
        <f t="shared" si="0"/>
        <v>22.510499999999997</v>
      </c>
      <c r="G13" s="22">
        <f t="shared" si="1"/>
        <v>6299.4433050102552</v>
      </c>
      <c r="H13" s="22">
        <f t="shared" si="2"/>
        <v>6595.5171403457371</v>
      </c>
      <c r="I13" s="22"/>
      <c r="J13" s="1">
        <v>40634</v>
      </c>
      <c r="K13" s="7">
        <f>Elec!B10</f>
        <v>0</v>
      </c>
      <c r="L13" s="7">
        <f>Elec!C10</f>
        <v>0</v>
      </c>
      <c r="M13" s="24">
        <f>Elec!D10</f>
        <v>0</v>
      </c>
      <c r="N13" s="7">
        <f>-(Elec!E10)</f>
        <v>0</v>
      </c>
      <c r="O13" s="121"/>
      <c r="Q13" s="22">
        <f t="shared" si="10"/>
        <v>0</v>
      </c>
      <c r="S13" s="22">
        <f t="shared" si="3"/>
        <v>0</v>
      </c>
      <c r="T13" s="22">
        <f t="shared" si="4"/>
        <v>0</v>
      </c>
      <c r="U13" s="22"/>
      <c r="V13" s="13">
        <f>HDD!B27</f>
        <v>255</v>
      </c>
      <c r="W13" s="13">
        <f>CDD!B17</f>
        <v>50</v>
      </c>
      <c r="Y13" s="22">
        <f t="shared" si="5"/>
        <v>6299.4433050102552</v>
      </c>
      <c r="Z13" s="22">
        <f t="shared" si="6"/>
        <v>6595.5171403457371</v>
      </c>
      <c r="AA13" s="22"/>
      <c r="AB13" s="22">
        <f t="shared" si="7"/>
        <v>21.5</v>
      </c>
      <c r="AC13" s="22">
        <f t="shared" si="8"/>
        <v>22.510499999999997</v>
      </c>
    </row>
    <row r="14" spans="2:30">
      <c r="B14" s="1">
        <v>40664</v>
      </c>
      <c r="C14" s="3">
        <f>Gas!E11</f>
        <v>57</v>
      </c>
      <c r="D14" s="21">
        <f t="shared" si="9"/>
        <v>5.7</v>
      </c>
      <c r="E14" s="22">
        <f t="shared" si="0"/>
        <v>5.9679000000000002</v>
      </c>
      <c r="G14" s="22">
        <f t="shared" si="1"/>
        <v>1670.0849692352772</v>
      </c>
      <c r="H14" s="22">
        <f t="shared" si="2"/>
        <v>1748.578962789335</v>
      </c>
      <c r="I14" s="22"/>
      <c r="J14" s="1">
        <v>40664</v>
      </c>
      <c r="K14" s="7">
        <f>Elec!B11</f>
        <v>0</v>
      </c>
      <c r="L14" s="7">
        <f>Elec!C11</f>
        <v>0</v>
      </c>
      <c r="M14" s="24">
        <f>Elec!D11</f>
        <v>0</v>
      </c>
      <c r="N14" s="7">
        <f>-(Elec!E11)</f>
        <v>0</v>
      </c>
      <c r="O14" s="121"/>
      <c r="Q14" s="22">
        <f t="shared" si="10"/>
        <v>0</v>
      </c>
      <c r="S14" s="22">
        <f t="shared" si="3"/>
        <v>0</v>
      </c>
      <c r="T14" s="22">
        <f t="shared" si="4"/>
        <v>0</v>
      </c>
      <c r="U14" s="22"/>
      <c r="V14" s="13">
        <f>HDD!B28</f>
        <v>75</v>
      </c>
      <c r="W14" s="13">
        <f>CDD!B18</f>
        <v>130</v>
      </c>
      <c r="Y14" s="22">
        <f t="shared" si="5"/>
        <v>1670.0849692352772</v>
      </c>
      <c r="Z14" s="22">
        <f t="shared" si="6"/>
        <v>1748.578962789335</v>
      </c>
      <c r="AA14" s="22"/>
      <c r="AB14" s="22">
        <f t="shared" si="7"/>
        <v>5.7</v>
      </c>
      <c r="AC14" s="22">
        <f t="shared" si="8"/>
        <v>5.9679000000000002</v>
      </c>
    </row>
    <row r="15" spans="2:30">
      <c r="B15" s="1">
        <v>40695</v>
      </c>
      <c r="C15" s="3">
        <f>Gas!E12</f>
        <v>33</v>
      </c>
      <c r="D15" s="21">
        <f t="shared" si="9"/>
        <v>3.3000000000000003</v>
      </c>
      <c r="E15" s="22">
        <f t="shared" si="0"/>
        <v>3.4550999999999998</v>
      </c>
      <c r="G15" s="22">
        <f t="shared" si="1"/>
        <v>966.89129797831833</v>
      </c>
      <c r="H15" s="22">
        <f t="shared" si="2"/>
        <v>1012.3351889832992</v>
      </c>
      <c r="I15" s="22"/>
      <c r="J15" s="1">
        <v>40695</v>
      </c>
      <c r="K15" s="7">
        <f>Elec!B12</f>
        <v>0</v>
      </c>
      <c r="L15" s="7">
        <f>Elec!C12</f>
        <v>0</v>
      </c>
      <c r="M15" s="24">
        <f>Elec!D12</f>
        <v>0</v>
      </c>
      <c r="N15" s="7">
        <f>-(Elec!E12)</f>
        <v>0</v>
      </c>
      <c r="O15" s="121"/>
      <c r="Q15" s="22">
        <f t="shared" si="10"/>
        <v>0</v>
      </c>
      <c r="S15" s="22">
        <f t="shared" si="3"/>
        <v>0</v>
      </c>
      <c r="T15" s="22">
        <f t="shared" si="4"/>
        <v>0</v>
      </c>
      <c r="U15" s="22"/>
      <c r="V15" s="13">
        <f>HDD!B29</f>
        <v>0</v>
      </c>
      <c r="W15" s="13">
        <f>CDD!B19</f>
        <v>374</v>
      </c>
      <c r="Y15" s="22">
        <f t="shared" si="5"/>
        <v>966.89129797831833</v>
      </c>
      <c r="Z15" s="22">
        <f t="shared" si="6"/>
        <v>1012.3351889832992</v>
      </c>
      <c r="AA15" s="22"/>
      <c r="AB15" s="22">
        <f t="shared" si="7"/>
        <v>3.3000000000000003</v>
      </c>
      <c r="AC15" s="22">
        <f t="shared" si="8"/>
        <v>3.4550999999999998</v>
      </c>
    </row>
    <row r="16" spans="2:30">
      <c r="B16" s="1">
        <v>40735</v>
      </c>
      <c r="C16" s="23">
        <f>Gas!E13</f>
        <v>34</v>
      </c>
      <c r="D16" s="24">
        <f t="shared" si="9"/>
        <v>3.4000000000000004</v>
      </c>
      <c r="E16" s="22">
        <f t="shared" si="0"/>
        <v>3.5598000000000001</v>
      </c>
      <c r="G16" s="22">
        <f t="shared" si="1"/>
        <v>996.19103428069172</v>
      </c>
      <c r="H16" s="22">
        <f t="shared" si="2"/>
        <v>1043.0120128918841</v>
      </c>
      <c r="I16" s="22"/>
      <c r="J16" s="1">
        <v>40725</v>
      </c>
      <c r="K16" s="17">
        <f>Elec!B13</f>
        <v>0</v>
      </c>
      <c r="L16" s="17">
        <f>Elec!C13</f>
        <v>0</v>
      </c>
      <c r="M16" s="24">
        <f>Elec!D13</f>
        <v>0</v>
      </c>
      <c r="N16" s="17">
        <f>-(Elec!E13)</f>
        <v>0</v>
      </c>
      <c r="O16" s="122"/>
      <c r="Q16" s="22">
        <f t="shared" si="10"/>
        <v>0</v>
      </c>
      <c r="S16" s="22">
        <f t="shared" si="3"/>
        <v>0</v>
      </c>
      <c r="T16" s="22">
        <f>M16*$E$4*$E$3</f>
        <v>0</v>
      </c>
      <c r="U16" s="22"/>
      <c r="V16" s="13">
        <f>HDD!B30</f>
        <v>2</v>
      </c>
      <c r="W16" s="13">
        <f>CDD!B20</f>
        <v>260</v>
      </c>
      <c r="Y16" s="44">
        <f t="shared" si="5"/>
        <v>996.19103428069172</v>
      </c>
      <c r="Z16" s="44">
        <f t="shared" si="6"/>
        <v>1043.0120128918841</v>
      </c>
      <c r="AA16" s="44"/>
      <c r="AB16" s="44">
        <f t="shared" si="7"/>
        <v>3.4000000000000004</v>
      </c>
      <c r="AC16" s="44">
        <f t="shared" si="8"/>
        <v>3.5598000000000001</v>
      </c>
    </row>
    <row r="17" spans="2:30">
      <c r="B17" s="1">
        <v>40766</v>
      </c>
      <c r="C17" s="23">
        <f>Gas!E14</f>
        <v>26</v>
      </c>
      <c r="D17" s="24">
        <f t="shared" si="9"/>
        <v>2.6</v>
      </c>
      <c r="E17" s="22">
        <f t="shared" si="0"/>
        <v>2.7222</v>
      </c>
      <c r="G17" s="22">
        <f t="shared" si="1"/>
        <v>761.7931438617054</v>
      </c>
      <c r="H17" s="22">
        <f t="shared" si="2"/>
        <v>797.59742162320549</v>
      </c>
      <c r="I17" s="22"/>
      <c r="J17" s="1">
        <v>40756</v>
      </c>
      <c r="K17" s="17">
        <f>Elec!B14</f>
        <v>18.75</v>
      </c>
      <c r="L17" s="17">
        <f>Elec!C14</f>
        <v>514</v>
      </c>
      <c r="M17" s="24">
        <f>Elec!D14</f>
        <v>568.75</v>
      </c>
      <c r="N17" s="17">
        <f>-(Elec!E14)</f>
        <v>36</v>
      </c>
      <c r="O17" s="124">
        <f>M17-N17</f>
        <v>532.75</v>
      </c>
      <c r="Q17" s="22">
        <f t="shared" si="10"/>
        <v>1899.625</v>
      </c>
      <c r="R17" s="22">
        <f>(M17-N17)*$E$4+N17</f>
        <v>1815.385</v>
      </c>
      <c r="S17" s="22">
        <f t="shared" si="3"/>
        <v>1.9411437499999999</v>
      </c>
      <c r="T17" s="22">
        <f>S17*$E$4</f>
        <v>6.4834201249999994</v>
      </c>
      <c r="U17" s="22">
        <f>((M17-N17)*$E$4+N17)*$E$3</f>
        <v>6.1959090049999999</v>
      </c>
      <c r="V17" s="13">
        <f>HDD!B31</f>
        <v>57</v>
      </c>
      <c r="W17" s="13">
        <f>CDD!B21</f>
        <v>115</v>
      </c>
      <c r="Y17" s="40">
        <f t="shared" si="5"/>
        <v>1330.5431438617054</v>
      </c>
      <c r="Z17" s="41">
        <f t="shared" si="6"/>
        <v>2697.2224216232053</v>
      </c>
      <c r="AA17" s="41">
        <f>H17+R17</f>
        <v>2612.9824216232055</v>
      </c>
      <c r="AB17" s="41">
        <f t="shared" si="7"/>
        <v>4.5411437499999998</v>
      </c>
      <c r="AC17" s="42">
        <f t="shared" si="8"/>
        <v>9.2056201249999994</v>
      </c>
      <c r="AD17" s="42">
        <f>E17+U17</f>
        <v>8.9181090049999998</v>
      </c>
    </row>
    <row r="18" spans="2:30">
      <c r="B18" s="1">
        <v>40797</v>
      </c>
      <c r="C18" s="23">
        <f>Gas!E15</f>
        <v>42</v>
      </c>
      <c r="D18" s="24">
        <f t="shared" si="9"/>
        <v>4.2</v>
      </c>
      <c r="E18" s="22">
        <f t="shared" si="0"/>
        <v>4.3974000000000002</v>
      </c>
      <c r="G18" s="22">
        <f t="shared" si="1"/>
        <v>1230.5889246996778</v>
      </c>
      <c r="H18" s="22">
        <f t="shared" si="2"/>
        <v>1288.4266041605626</v>
      </c>
      <c r="I18" s="22"/>
      <c r="J18" s="1">
        <v>40787</v>
      </c>
      <c r="K18" s="17">
        <f>Elec!B15</f>
        <v>18.75</v>
      </c>
      <c r="L18" s="17">
        <f>Elec!C15</f>
        <v>426</v>
      </c>
      <c r="M18" s="24">
        <f>Elec!D15</f>
        <v>501.75</v>
      </c>
      <c r="N18" s="17">
        <f>-(Elec!E15)</f>
        <v>57</v>
      </c>
      <c r="O18" s="124">
        <f t="shared" ref="O18:O28" si="11">M18-N18</f>
        <v>444.75</v>
      </c>
      <c r="Q18" s="22">
        <f t="shared" si="10"/>
        <v>1675.845</v>
      </c>
      <c r="R18" s="22">
        <f t="shared" ref="R18:R28" si="12">(M18-N18)*$E$4+N18</f>
        <v>1542.4649999999999</v>
      </c>
      <c r="S18" s="22">
        <f t="shared" si="3"/>
        <v>1.7124727499999999</v>
      </c>
      <c r="T18" s="22">
        <f t="shared" ref="T18:T28" si="13">S18*$E$4</f>
        <v>5.7196589849999997</v>
      </c>
      <c r="U18" s="22">
        <f t="shared" ref="U18:U28" si="14">((M18-N18)*$E$4+N18)*$E$3</f>
        <v>5.2644330449999996</v>
      </c>
      <c r="V18" s="13">
        <f>HDD!B32</f>
        <v>267</v>
      </c>
      <c r="W18" s="13">
        <f>CDD!B22</f>
        <v>29</v>
      </c>
      <c r="Y18" s="43">
        <f t="shared" si="5"/>
        <v>1732.3389246996778</v>
      </c>
      <c r="Z18" s="44">
        <f t="shared" si="6"/>
        <v>2964.2716041605627</v>
      </c>
      <c r="AA18" s="41">
        <f t="shared" ref="AA18:AA28" si="15">H18+R18</f>
        <v>2830.8916041605626</v>
      </c>
      <c r="AB18" s="44">
        <f t="shared" si="7"/>
        <v>5.9124727500000001</v>
      </c>
      <c r="AC18" s="45">
        <f t="shared" si="8"/>
        <v>10.117058985</v>
      </c>
      <c r="AD18" s="42">
        <f t="shared" ref="AD18:AD28" si="16">E18+U18</f>
        <v>9.6618330449999998</v>
      </c>
    </row>
    <row r="19" spans="2:30">
      <c r="B19" s="1">
        <v>40827</v>
      </c>
      <c r="C19" s="23">
        <f>Gas!E16</f>
        <v>38</v>
      </c>
      <c r="D19" s="24">
        <f t="shared" si="9"/>
        <v>3.8000000000000003</v>
      </c>
      <c r="E19" s="22">
        <f t="shared" si="0"/>
        <v>3.9786000000000001</v>
      </c>
      <c r="G19" s="22">
        <f t="shared" si="1"/>
        <v>1113.3899794901847</v>
      </c>
      <c r="H19" s="22">
        <f t="shared" si="2"/>
        <v>1165.7193085262234</v>
      </c>
      <c r="I19" s="22"/>
      <c r="J19" s="1">
        <v>40817</v>
      </c>
      <c r="K19" s="17">
        <f>Elec!B16</f>
        <v>18.75</v>
      </c>
      <c r="L19" s="17">
        <f>Elec!C16</f>
        <v>385</v>
      </c>
      <c r="M19" s="24">
        <f>Elec!D16</f>
        <v>485.75</v>
      </c>
      <c r="N19" s="17">
        <f>-(Elec!E16)</f>
        <v>82</v>
      </c>
      <c r="O19" s="124">
        <f t="shared" si="11"/>
        <v>403.75</v>
      </c>
      <c r="Q19" s="22">
        <f t="shared" si="10"/>
        <v>1622.405</v>
      </c>
      <c r="R19" s="22">
        <f t="shared" si="12"/>
        <v>1430.5249999999999</v>
      </c>
      <c r="S19" s="22">
        <f t="shared" si="3"/>
        <v>1.6578647499999999</v>
      </c>
      <c r="T19" s="22">
        <f t="shared" si="13"/>
        <v>5.5372682649999998</v>
      </c>
      <c r="U19" s="22">
        <f t="shared" si="14"/>
        <v>4.8823818249999995</v>
      </c>
      <c r="V19" s="13">
        <f>HDD!B33</f>
        <v>449</v>
      </c>
      <c r="W19" s="13">
        <f>CDD!B23</f>
        <v>1</v>
      </c>
      <c r="Y19" s="43">
        <f t="shared" si="5"/>
        <v>1599.1399794901847</v>
      </c>
      <c r="Z19" s="44">
        <f t="shared" si="6"/>
        <v>2788.1243085262231</v>
      </c>
      <c r="AA19" s="41">
        <f t="shared" si="15"/>
        <v>2596.244308526223</v>
      </c>
      <c r="AB19" s="44">
        <f t="shared" si="7"/>
        <v>5.4578647500000006</v>
      </c>
      <c r="AC19" s="45">
        <f t="shared" si="8"/>
        <v>9.5158682649999999</v>
      </c>
      <c r="AD19" s="42">
        <f t="shared" si="16"/>
        <v>8.8609818249999996</v>
      </c>
    </row>
    <row r="20" spans="2:30">
      <c r="B20" s="1">
        <v>40858</v>
      </c>
      <c r="C20" s="23">
        <f>Gas!E17</f>
        <v>65</v>
      </c>
      <c r="D20" s="24">
        <f t="shared" si="9"/>
        <v>6.5</v>
      </c>
      <c r="E20" s="22">
        <f t="shared" si="0"/>
        <v>6.8054999999999994</v>
      </c>
      <c r="G20" s="22">
        <f t="shared" si="1"/>
        <v>1904.4828596542634</v>
      </c>
      <c r="H20" s="22">
        <f t="shared" si="2"/>
        <v>1993.9935540580136</v>
      </c>
      <c r="I20" s="22"/>
      <c r="J20" s="1">
        <v>40848</v>
      </c>
      <c r="K20" s="17">
        <f>Elec!B17</f>
        <v>18.75</v>
      </c>
      <c r="L20" s="17">
        <f>Elec!C17</f>
        <v>177</v>
      </c>
      <c r="M20" s="24">
        <f>Elec!D17</f>
        <v>498.98999999999995</v>
      </c>
      <c r="N20" s="17">
        <f>-(Elec!E17)</f>
        <v>303.23999999999995</v>
      </c>
      <c r="O20" s="124">
        <f t="shared" si="11"/>
        <v>195.75</v>
      </c>
      <c r="Q20" s="22">
        <f t="shared" si="10"/>
        <v>1666.6265999999998</v>
      </c>
      <c r="R20" s="22">
        <f t="shared" si="12"/>
        <v>957.04499999999985</v>
      </c>
      <c r="S20" s="22">
        <f t="shared" si="3"/>
        <v>1.7030528699999998</v>
      </c>
      <c r="T20" s="22">
        <f t="shared" si="13"/>
        <v>5.6881965857999992</v>
      </c>
      <c r="U20" s="22">
        <f t="shared" si="14"/>
        <v>3.2663945849999991</v>
      </c>
      <c r="V20" s="13">
        <f>HDD!B34</f>
        <v>764</v>
      </c>
      <c r="W20" s="13">
        <f>CDD!B24</f>
        <v>0</v>
      </c>
      <c r="Y20" s="43">
        <f t="shared" si="5"/>
        <v>2403.4728596542632</v>
      </c>
      <c r="Z20" s="44">
        <f t="shared" si="6"/>
        <v>3660.6201540580132</v>
      </c>
      <c r="AA20" s="41">
        <f t="shared" si="15"/>
        <v>2951.0385540580137</v>
      </c>
      <c r="AB20" s="44">
        <f t="shared" si="7"/>
        <v>8.2030528700000005</v>
      </c>
      <c r="AC20" s="45">
        <f t="shared" si="8"/>
        <v>12.493696585799999</v>
      </c>
      <c r="AD20" s="42">
        <f t="shared" si="16"/>
        <v>10.071894584999999</v>
      </c>
    </row>
    <row r="21" spans="2:30">
      <c r="B21" s="1">
        <v>40888</v>
      </c>
      <c r="C21" s="23">
        <f>Gas!E18</f>
        <v>73</v>
      </c>
      <c r="D21" s="24">
        <f t="shared" si="9"/>
        <v>7.3000000000000007</v>
      </c>
      <c r="E21" s="22">
        <f t="shared" si="0"/>
        <v>7.6431000000000004</v>
      </c>
      <c r="G21" s="22">
        <f t="shared" si="1"/>
        <v>2138.8807500732496</v>
      </c>
      <c r="H21" s="22">
        <f t="shared" si="2"/>
        <v>2239.4081453266926</v>
      </c>
      <c r="I21" s="22"/>
      <c r="J21" s="1">
        <v>40878</v>
      </c>
      <c r="K21" s="17">
        <f>Elec!B18</f>
        <v>18.75</v>
      </c>
      <c r="L21" s="17">
        <f>Elec!C18</f>
        <v>-134</v>
      </c>
      <c r="M21" s="24">
        <f>Elec!D18</f>
        <v>532.27</v>
      </c>
      <c r="N21" s="17">
        <f>-(Elec!E18)</f>
        <v>647.52</v>
      </c>
      <c r="O21" s="124">
        <f t="shared" si="11"/>
        <v>-115.25</v>
      </c>
      <c r="Q21" s="22">
        <f t="shared" si="10"/>
        <v>1777.7818</v>
      </c>
      <c r="R21" s="22">
        <f t="shared" si="12"/>
        <v>262.58499999999998</v>
      </c>
      <c r="S21" s="22">
        <f t="shared" si="3"/>
        <v>1.8166375099999998</v>
      </c>
      <c r="T21" s="22">
        <f t="shared" si="13"/>
        <v>6.0675692833999992</v>
      </c>
      <c r="U21" s="22">
        <f t="shared" si="14"/>
        <v>0.89620260499999993</v>
      </c>
      <c r="V21" s="13">
        <f>HDD!B35</f>
        <v>959</v>
      </c>
      <c r="W21" s="13">
        <f>CDD!B25</f>
        <v>0</v>
      </c>
      <c r="Y21" s="43">
        <f t="shared" si="5"/>
        <v>2671.1507500732496</v>
      </c>
      <c r="Z21" s="44">
        <f t="shared" si="6"/>
        <v>4017.1899453266924</v>
      </c>
      <c r="AA21" s="41">
        <f t="shared" si="15"/>
        <v>2501.9931453266927</v>
      </c>
      <c r="AB21" s="44">
        <f t="shared" si="7"/>
        <v>9.1166375100000003</v>
      </c>
      <c r="AC21" s="45">
        <f t="shared" si="8"/>
        <v>13.7106692834</v>
      </c>
      <c r="AD21" s="42">
        <f t="shared" si="16"/>
        <v>8.5393026049999996</v>
      </c>
    </row>
    <row r="22" spans="2:30">
      <c r="B22" s="1">
        <v>40920</v>
      </c>
      <c r="C22" s="23">
        <f>Gas!E19</f>
        <v>150</v>
      </c>
      <c r="D22" s="24">
        <f t="shared" si="9"/>
        <v>15</v>
      </c>
      <c r="E22" s="22">
        <f t="shared" si="0"/>
        <v>15.704999999999998</v>
      </c>
      <c r="G22" s="22">
        <f t="shared" si="1"/>
        <v>4394.9604453559923</v>
      </c>
      <c r="H22" s="22">
        <f t="shared" si="2"/>
        <v>4601.5235862877234</v>
      </c>
      <c r="I22" s="22"/>
      <c r="J22" s="1">
        <v>40909</v>
      </c>
      <c r="K22" s="17">
        <f>Elec!B19</f>
        <v>18.75</v>
      </c>
      <c r="L22" s="17">
        <f>Elec!C19</f>
        <v>34</v>
      </c>
      <c r="M22" s="24">
        <f>Elec!D19</f>
        <v>651.25</v>
      </c>
      <c r="N22" s="17">
        <f>-(Elec!E19)</f>
        <v>598.5</v>
      </c>
      <c r="O22" s="124">
        <f t="shared" si="11"/>
        <v>52.75</v>
      </c>
      <c r="Q22" s="22">
        <f t="shared" si="10"/>
        <v>2175.1749999999997</v>
      </c>
      <c r="R22" s="22">
        <f t="shared" si="12"/>
        <v>774.68499999999995</v>
      </c>
      <c r="S22" s="22">
        <f t="shared" si="3"/>
        <v>2.2227162499999999</v>
      </c>
      <c r="T22" s="22">
        <f t="shared" si="13"/>
        <v>7.4238722749999999</v>
      </c>
      <c r="U22" s="22">
        <f t="shared" si="14"/>
        <v>2.6439999049999998</v>
      </c>
      <c r="V22" s="13">
        <f>HDD!B36</f>
        <v>801</v>
      </c>
      <c r="W22" s="13">
        <f>CDD!B26</f>
        <v>0</v>
      </c>
      <c r="Y22" s="43">
        <f t="shared" si="5"/>
        <v>5046.2104453559923</v>
      </c>
      <c r="Z22" s="44">
        <f t="shared" si="6"/>
        <v>6776.6985862877227</v>
      </c>
      <c r="AA22" s="41">
        <f t="shared" si="15"/>
        <v>5376.2085862877229</v>
      </c>
      <c r="AB22" s="44">
        <f t="shared" si="7"/>
        <v>17.222716250000001</v>
      </c>
      <c r="AC22" s="45">
        <f t="shared" si="8"/>
        <v>23.128872274999999</v>
      </c>
      <c r="AD22" s="42">
        <f t="shared" si="16"/>
        <v>18.348999904999999</v>
      </c>
    </row>
    <row r="23" spans="2:30">
      <c r="B23" s="1">
        <v>40940</v>
      </c>
      <c r="C23" s="23">
        <f>Gas!E20</f>
        <v>110</v>
      </c>
      <c r="D23" s="24">
        <f t="shared" si="9"/>
        <v>11</v>
      </c>
      <c r="E23" s="22">
        <f t="shared" si="0"/>
        <v>11.516999999999999</v>
      </c>
      <c r="G23" s="22">
        <f t="shared" si="1"/>
        <v>3222.9709932610608</v>
      </c>
      <c r="H23" s="22">
        <f t="shared" si="2"/>
        <v>3374.4506299443306</v>
      </c>
      <c r="I23" s="22"/>
      <c r="J23" s="1">
        <v>40940</v>
      </c>
      <c r="K23" s="17">
        <f>Elec!B20</f>
        <v>18.75</v>
      </c>
      <c r="L23" s="17">
        <f>Elec!C20</f>
        <v>30</v>
      </c>
      <c r="M23" s="24">
        <f>Elec!D20</f>
        <v>442.04999999999995</v>
      </c>
      <c r="N23" s="17">
        <f>-(Elec!E20)</f>
        <v>393.29999999999995</v>
      </c>
      <c r="O23" s="124">
        <f t="shared" si="11"/>
        <v>48.75</v>
      </c>
      <c r="Q23" s="22">
        <f t="shared" si="10"/>
        <v>1476.4469999999999</v>
      </c>
      <c r="R23" s="22">
        <f t="shared" si="12"/>
        <v>556.125</v>
      </c>
      <c r="S23" s="22">
        <f t="shared" si="3"/>
        <v>1.5087166499999998</v>
      </c>
      <c r="T23" s="22">
        <f t="shared" si="13"/>
        <v>5.0391136109999994</v>
      </c>
      <c r="U23" s="22">
        <f t="shared" si="14"/>
        <v>1.8980546249999999</v>
      </c>
      <c r="V23" s="13">
        <f>HDD!B37</f>
        <v>608</v>
      </c>
      <c r="W23" s="13">
        <f>CDD!B27</f>
        <v>18</v>
      </c>
      <c r="Y23" s="43">
        <f t="shared" si="5"/>
        <v>3665.0209932610605</v>
      </c>
      <c r="Z23" s="44">
        <f t="shared" si="6"/>
        <v>4850.8976299443302</v>
      </c>
      <c r="AA23" s="41">
        <f t="shared" si="15"/>
        <v>3930.5756299443306</v>
      </c>
      <c r="AB23" s="44">
        <f t="shared" si="7"/>
        <v>12.50871665</v>
      </c>
      <c r="AC23" s="45">
        <f t="shared" si="8"/>
        <v>16.556113611000001</v>
      </c>
      <c r="AD23" s="42">
        <f t="shared" si="16"/>
        <v>13.415054625</v>
      </c>
    </row>
    <row r="24" spans="2:30">
      <c r="B24" s="1">
        <v>40969</v>
      </c>
      <c r="C24" s="23">
        <f>Gas!E21</f>
        <v>103</v>
      </c>
      <c r="D24" s="24">
        <f t="shared" si="9"/>
        <v>10.3</v>
      </c>
      <c r="E24" s="22">
        <f t="shared" si="0"/>
        <v>10.7841</v>
      </c>
      <c r="G24" s="22">
        <f t="shared" si="1"/>
        <v>3017.8728391444483</v>
      </c>
      <c r="H24" s="22">
        <f t="shared" si="2"/>
        <v>3159.7128625842374</v>
      </c>
      <c r="I24" s="22"/>
      <c r="J24" s="1">
        <v>40969</v>
      </c>
      <c r="K24" s="17">
        <f>Elec!B21</f>
        <v>18.75</v>
      </c>
      <c r="L24" s="17">
        <f>Elec!C21</f>
        <v>183</v>
      </c>
      <c r="M24" s="24">
        <f>Elec!D21</f>
        <v>491.69</v>
      </c>
      <c r="N24" s="17">
        <f>-(Elec!E21)</f>
        <v>289.94</v>
      </c>
      <c r="O24" s="124">
        <f t="shared" si="11"/>
        <v>201.75</v>
      </c>
      <c r="Q24" s="22">
        <f t="shared" si="10"/>
        <v>1642.2446</v>
      </c>
      <c r="R24" s="22">
        <f t="shared" si="12"/>
        <v>963.78500000000008</v>
      </c>
      <c r="S24" s="22">
        <f t="shared" si="3"/>
        <v>1.6781379699999999</v>
      </c>
      <c r="T24" s="22">
        <f t="shared" si="13"/>
        <v>5.6049808197999997</v>
      </c>
      <c r="U24" s="22">
        <f t="shared" si="14"/>
        <v>3.2893982049999999</v>
      </c>
      <c r="V24" s="13">
        <f>HDD!B38</f>
        <v>398</v>
      </c>
      <c r="W24" s="13">
        <f>CDD!B28</f>
        <v>25</v>
      </c>
      <c r="Y24" s="43">
        <f t="shared" si="5"/>
        <v>3509.5628391444484</v>
      </c>
      <c r="Z24" s="44">
        <f t="shared" si="6"/>
        <v>4801.9574625842379</v>
      </c>
      <c r="AA24" s="41">
        <f t="shared" si="15"/>
        <v>4123.4978625842377</v>
      </c>
      <c r="AB24" s="44">
        <f t="shared" si="7"/>
        <v>11.978137970000001</v>
      </c>
      <c r="AC24" s="45">
        <f t="shared" si="8"/>
        <v>16.3890808198</v>
      </c>
      <c r="AD24" s="42">
        <f t="shared" si="16"/>
        <v>14.073498205</v>
      </c>
    </row>
    <row r="25" spans="2:30">
      <c r="B25" s="1">
        <v>41000</v>
      </c>
      <c r="C25" s="23">
        <f>Gas!E22</f>
        <v>72</v>
      </c>
      <c r="D25" s="24">
        <f t="shared" si="9"/>
        <v>7.2</v>
      </c>
      <c r="E25" s="22">
        <f t="shared" si="0"/>
        <v>7.5383999999999993</v>
      </c>
      <c r="G25" s="22">
        <f t="shared" si="1"/>
        <v>2109.5810137708763</v>
      </c>
      <c r="H25" s="22">
        <f t="shared" si="2"/>
        <v>2208.7313214181072</v>
      </c>
      <c r="I25" s="22"/>
      <c r="J25" s="1">
        <v>41000</v>
      </c>
      <c r="K25" s="17">
        <f>Elec!B22</f>
        <v>18.75</v>
      </c>
      <c r="L25" s="17">
        <f>Elec!C22</f>
        <v>170</v>
      </c>
      <c r="M25" s="24">
        <f>Elec!D22</f>
        <v>478.69</v>
      </c>
      <c r="N25" s="17">
        <f>-(Elec!E22)</f>
        <v>289.94</v>
      </c>
      <c r="O25" s="124">
        <f t="shared" si="11"/>
        <v>188.75</v>
      </c>
      <c r="Q25" s="22">
        <f t="shared" si="10"/>
        <v>1598.8245999999999</v>
      </c>
      <c r="R25" s="22">
        <f t="shared" si="12"/>
        <v>920.36500000000001</v>
      </c>
      <c r="S25" s="22">
        <f t="shared" si="3"/>
        <v>1.63376897</v>
      </c>
      <c r="T25" s="22">
        <f t="shared" si="13"/>
        <v>5.4567883598</v>
      </c>
      <c r="U25" s="22">
        <f t="shared" si="14"/>
        <v>3.1412057449999997</v>
      </c>
      <c r="V25" s="13">
        <f>HDD!B39</f>
        <v>204</v>
      </c>
      <c r="W25" s="13">
        <f>CDD!B29</f>
        <v>42</v>
      </c>
      <c r="Y25" s="43">
        <f t="shared" si="5"/>
        <v>2588.2710137708764</v>
      </c>
      <c r="Z25" s="44">
        <f t="shared" si="6"/>
        <v>3807.5559214181071</v>
      </c>
      <c r="AA25" s="41">
        <f t="shared" si="15"/>
        <v>3129.0963214181074</v>
      </c>
      <c r="AB25" s="44">
        <f t="shared" si="7"/>
        <v>8.8337689699999995</v>
      </c>
      <c r="AC25" s="45">
        <f t="shared" si="8"/>
        <v>12.9951883598</v>
      </c>
      <c r="AD25" s="42">
        <f t="shared" si="16"/>
        <v>10.679605745</v>
      </c>
    </row>
    <row r="26" spans="2:30">
      <c r="B26" s="1">
        <v>41030</v>
      </c>
      <c r="C26" s="23">
        <f>Gas!E23</f>
        <v>49</v>
      </c>
      <c r="D26" s="24">
        <f t="shared" si="9"/>
        <v>4.9000000000000004</v>
      </c>
      <c r="E26" s="22">
        <f t="shared" si="0"/>
        <v>5.1303000000000001</v>
      </c>
      <c r="G26" s="22">
        <f t="shared" si="1"/>
        <v>1435.687078816291</v>
      </c>
      <c r="H26" s="22">
        <f t="shared" si="2"/>
        <v>1503.1643715206565</v>
      </c>
      <c r="I26" s="22"/>
      <c r="J26" s="1">
        <v>41030</v>
      </c>
      <c r="K26" s="17">
        <f>Elec!B23</f>
        <v>18.75</v>
      </c>
      <c r="L26" s="17">
        <f>Elec!C23</f>
        <v>282</v>
      </c>
      <c r="M26" s="24">
        <f>Elec!D23</f>
        <v>590.69000000000005</v>
      </c>
      <c r="N26" s="17">
        <f>-(Elec!E23)</f>
        <v>289.94</v>
      </c>
      <c r="O26" s="124">
        <f t="shared" si="11"/>
        <v>300.75000000000006</v>
      </c>
      <c r="Q26" s="22">
        <f t="shared" si="10"/>
        <v>1972.9046000000001</v>
      </c>
      <c r="R26" s="22">
        <f t="shared" si="12"/>
        <v>1294.4450000000002</v>
      </c>
      <c r="S26" s="22">
        <f t="shared" si="3"/>
        <v>2.0160249700000001</v>
      </c>
      <c r="T26" s="22">
        <f t="shared" si="13"/>
        <v>6.7335233998000001</v>
      </c>
      <c r="U26" s="22">
        <f t="shared" si="14"/>
        <v>4.4179407849999999</v>
      </c>
      <c r="V26" s="13">
        <f>HDD!B40</f>
        <v>94</v>
      </c>
      <c r="W26" s="13">
        <f>CDD!B30</f>
        <v>142</v>
      </c>
      <c r="Y26" s="43">
        <f t="shared" si="5"/>
        <v>2026.377078816291</v>
      </c>
      <c r="Z26" s="44">
        <f t="shared" si="6"/>
        <v>3476.0689715206563</v>
      </c>
      <c r="AA26" s="41">
        <f t="shared" si="15"/>
        <v>2797.6093715206566</v>
      </c>
      <c r="AB26" s="44">
        <f t="shared" si="7"/>
        <v>6.9160249700000005</v>
      </c>
      <c r="AC26" s="45">
        <f t="shared" si="8"/>
        <v>11.863823399800001</v>
      </c>
      <c r="AD26" s="42">
        <f t="shared" si="16"/>
        <v>9.5482407850000008</v>
      </c>
    </row>
    <row r="27" spans="2:30">
      <c r="B27" s="1">
        <v>41061</v>
      </c>
      <c r="C27" s="23">
        <f>Gas!E24</f>
        <v>39</v>
      </c>
      <c r="D27" s="24">
        <f t="shared" si="9"/>
        <v>3.9000000000000004</v>
      </c>
      <c r="E27" s="22">
        <f t="shared" si="0"/>
        <v>4.0833000000000004</v>
      </c>
      <c r="G27" s="22">
        <f t="shared" si="1"/>
        <v>1142.689715792558</v>
      </c>
      <c r="H27" s="22">
        <f t="shared" si="2"/>
        <v>1196.3961324348084</v>
      </c>
      <c r="I27" s="22"/>
      <c r="J27" s="1">
        <v>41061</v>
      </c>
      <c r="K27" s="17">
        <f>Elec!B24</f>
        <v>18.75</v>
      </c>
      <c r="L27" s="17">
        <f>Elec!C24</f>
        <v>311</v>
      </c>
      <c r="M27" s="24">
        <f>Elec!D24</f>
        <v>451.75</v>
      </c>
      <c r="N27" s="17">
        <f>-(Elec!E24)</f>
        <v>122</v>
      </c>
      <c r="O27" s="124">
        <f t="shared" si="11"/>
        <v>329.75</v>
      </c>
      <c r="Q27" s="22">
        <f t="shared" si="10"/>
        <v>1508.845</v>
      </c>
      <c r="R27" s="22">
        <f t="shared" si="12"/>
        <v>1223.365</v>
      </c>
      <c r="S27" s="22">
        <f t="shared" si="3"/>
        <v>1.5418227499999999</v>
      </c>
      <c r="T27" s="22">
        <f t="shared" si="13"/>
        <v>5.1496879849999999</v>
      </c>
      <c r="U27" s="22">
        <f t="shared" si="14"/>
        <v>4.1753447449999994</v>
      </c>
      <c r="V27" s="13">
        <f>HDD!B41</f>
        <v>2</v>
      </c>
      <c r="W27" s="13">
        <f>CDD!B31</f>
        <v>304</v>
      </c>
      <c r="Y27" s="43">
        <f t="shared" si="5"/>
        <v>1594.439715792558</v>
      </c>
      <c r="Z27" s="44">
        <f t="shared" si="6"/>
        <v>2705.2411324348086</v>
      </c>
      <c r="AA27" s="41">
        <f t="shared" si="15"/>
        <v>2419.7611324348081</v>
      </c>
      <c r="AB27" s="44">
        <f t="shared" si="7"/>
        <v>5.44182275</v>
      </c>
      <c r="AC27" s="45">
        <f t="shared" si="8"/>
        <v>9.2329879850000012</v>
      </c>
      <c r="AD27" s="42">
        <f t="shared" si="16"/>
        <v>8.2586447449999998</v>
      </c>
    </row>
    <row r="28" spans="2:30">
      <c r="B28" s="1">
        <v>41101</v>
      </c>
      <c r="C28" s="23">
        <f>Gas!E25</f>
        <v>31</v>
      </c>
      <c r="D28" s="24">
        <f t="shared" si="9"/>
        <v>3.1</v>
      </c>
      <c r="E28" s="22">
        <f t="shared" si="0"/>
        <v>3.2456999999999998</v>
      </c>
      <c r="G28" s="22">
        <f t="shared" si="1"/>
        <v>908.29182537357178</v>
      </c>
      <c r="H28" s="22">
        <f t="shared" si="2"/>
        <v>950.98154116612955</v>
      </c>
      <c r="I28" s="22"/>
      <c r="J28" s="1">
        <v>41091</v>
      </c>
      <c r="K28" s="17">
        <f>Elec!B25</f>
        <v>18.75</v>
      </c>
      <c r="L28" s="17">
        <f>Elec!C25</f>
        <v>390</v>
      </c>
      <c r="M28" s="24">
        <f>Elec!D25</f>
        <v>459.75</v>
      </c>
      <c r="N28" s="17">
        <f>-(Elec!E25)</f>
        <v>51</v>
      </c>
      <c r="O28" s="124">
        <f t="shared" si="11"/>
        <v>408.75</v>
      </c>
      <c r="Q28" s="22">
        <f t="shared" si="10"/>
        <v>1535.5649999999998</v>
      </c>
      <c r="R28" s="22">
        <f t="shared" si="12"/>
        <v>1416.2249999999999</v>
      </c>
      <c r="S28" s="22">
        <f t="shared" si="3"/>
        <v>1.5691267499999999</v>
      </c>
      <c r="T28" s="22">
        <f t="shared" si="13"/>
        <v>5.2408833449999994</v>
      </c>
      <c r="U28" s="22">
        <f t="shared" si="14"/>
        <v>4.833575924999999</v>
      </c>
      <c r="V28" s="13">
        <f>HDD!B42</f>
        <v>2</v>
      </c>
      <c r="W28" s="13">
        <f>CDD!B32</f>
        <v>293</v>
      </c>
      <c r="Y28" s="46">
        <f t="shared" si="5"/>
        <v>1368.0418253735718</v>
      </c>
      <c r="Z28" s="47">
        <f t="shared" si="6"/>
        <v>2486.5465411661294</v>
      </c>
      <c r="AA28" s="41">
        <f t="shared" si="15"/>
        <v>2367.2065411661297</v>
      </c>
      <c r="AB28" s="47">
        <f t="shared" si="7"/>
        <v>4.6691267500000002</v>
      </c>
      <c r="AC28" s="48">
        <f t="shared" si="8"/>
        <v>8.4865833449999997</v>
      </c>
      <c r="AD28" s="42">
        <f t="shared" si="16"/>
        <v>8.0792759249999992</v>
      </c>
    </row>
    <row r="29" spans="2:30">
      <c r="B29" s="1">
        <v>41132</v>
      </c>
      <c r="C29" s="3">
        <f>Gas!E26</f>
        <v>31</v>
      </c>
      <c r="D29" s="6"/>
      <c r="M29" s="13" t="s">
        <v>118</v>
      </c>
      <c r="N29">
        <f>SUM(N23:N28)</f>
        <v>1436.1200000000001</v>
      </c>
      <c r="O29" s="22">
        <f>SUM(O17:O28)</f>
        <v>2993</v>
      </c>
      <c r="P29" s="22"/>
      <c r="R29" s="13" t="s">
        <v>118</v>
      </c>
      <c r="S29" s="22">
        <f>SUM(S23:S28)</f>
        <v>9.9475980600000007</v>
      </c>
      <c r="T29" s="22">
        <f>SUM(T23:T28)</f>
        <v>33.224977520399996</v>
      </c>
      <c r="U29" s="22">
        <f>SUM(U23:U28)</f>
        <v>21.755520029999996</v>
      </c>
    </row>
    <row r="30" spans="2:30" s="13" customFormat="1">
      <c r="B30" s="1"/>
      <c r="C30" s="3" t="s">
        <v>118</v>
      </c>
      <c r="D30" s="51">
        <f>SUM(D23:D28)</f>
        <v>40.4</v>
      </c>
      <c r="E30" s="51">
        <f>SUM(E23:E28)</f>
        <v>42.2988</v>
      </c>
      <c r="N30" s="22">
        <f>N29*$E$3</f>
        <v>4.90147756</v>
      </c>
      <c r="O30" s="22">
        <f>SUM(O23:O28)</f>
        <v>1478.5</v>
      </c>
      <c r="R30" s="13" t="s">
        <v>120</v>
      </c>
      <c r="S30" s="22">
        <f>SUM(S17:S28)</f>
        <v>21.001485939999998</v>
      </c>
      <c r="T30" s="22">
        <f>SUM(T17:T28)</f>
        <v>70.1449630396</v>
      </c>
      <c r="U30" s="22"/>
    </row>
    <row r="31" spans="2:30">
      <c r="B31" s="13"/>
      <c r="C31" s="6" t="s">
        <v>120</v>
      </c>
      <c r="D31" s="21">
        <f>SUM(D17:D28)</f>
        <v>79.800000000000011</v>
      </c>
      <c r="E31" s="21">
        <f>SUM(E17:E28)</f>
        <v>83.550600000000003</v>
      </c>
      <c r="M31" s="22"/>
    </row>
    <row r="32" spans="2:30" s="13" customFormat="1">
      <c r="B32" s="13" t="s">
        <v>116</v>
      </c>
      <c r="C32" s="115"/>
      <c r="D32" s="115"/>
      <c r="M32" s="22"/>
    </row>
    <row r="33" spans="1:30" s="13" customFormat="1">
      <c r="B33" s="116"/>
      <c r="C33" s="117">
        <f>MIN(C23:C28)</f>
        <v>31</v>
      </c>
      <c r="D33" s="118">
        <f t="shared" ref="D33:D35" si="17">C33*E$2</f>
        <v>3.1</v>
      </c>
      <c r="E33" s="52">
        <f t="shared" ref="E33:E35" si="18">D33*E$5</f>
        <v>3.2456999999999998</v>
      </c>
      <c r="F33" s="119"/>
      <c r="G33" s="119"/>
      <c r="H33" s="119"/>
      <c r="I33" s="119"/>
      <c r="J33" s="119"/>
      <c r="K33" s="119"/>
      <c r="L33" s="119"/>
      <c r="M33" s="120">
        <f>MIN(M23:M28)</f>
        <v>442.04999999999995</v>
      </c>
      <c r="N33" s="119"/>
      <c r="O33" s="119"/>
      <c r="P33" s="119"/>
      <c r="Q33" s="52">
        <f t="shared" ref="Q33:Q35" si="19">((M33-N33)*E$4)+N33</f>
        <v>1476.4469999999999</v>
      </c>
      <c r="R33" s="119"/>
      <c r="S33" s="52">
        <f>M33*E$3</f>
        <v>1.5087166499999998</v>
      </c>
      <c r="T33" s="52">
        <f>S33*$E$4</f>
        <v>5.0391136109999994</v>
      </c>
      <c r="U33" s="119"/>
      <c r="V33" s="119"/>
      <c r="W33" s="119"/>
      <c r="X33" s="119"/>
      <c r="Y33" s="119"/>
      <c r="Z33" s="119"/>
      <c r="AA33" s="119"/>
      <c r="AB33" s="52">
        <f t="shared" ref="AB33" si="20">D33+S33</f>
        <v>4.6087166499999999</v>
      </c>
      <c r="AC33" s="54">
        <f t="shared" ref="AC33" si="21">E33+T33</f>
        <v>8.2848136109999988</v>
      </c>
    </row>
    <row r="34" spans="1:30">
      <c r="A34" s="13"/>
      <c r="B34" s="13" t="s">
        <v>80</v>
      </c>
      <c r="M34" s="13"/>
    </row>
    <row r="35" spans="1:30">
      <c r="B35" s="49"/>
      <c r="C35" s="50">
        <f>SUM(C36:C37)/2</f>
        <v>28.5</v>
      </c>
      <c r="D35" s="51">
        <f t="shared" si="17"/>
        <v>2.85</v>
      </c>
      <c r="E35" s="52">
        <f t="shared" si="18"/>
        <v>2.9839500000000001</v>
      </c>
      <c r="F35" s="50"/>
      <c r="G35" s="52">
        <f t="shared" ref="G35" si="22">D35*E$1</f>
        <v>835.04248461763859</v>
      </c>
      <c r="H35" s="52">
        <f t="shared" ref="H35" si="23">E35*E$1</f>
        <v>874.28948139466752</v>
      </c>
      <c r="I35" s="50"/>
      <c r="J35" s="50"/>
      <c r="K35" s="50"/>
      <c r="L35" s="50"/>
      <c r="M35" s="50">
        <f>SUM(M36:M37)/2</f>
        <v>446.9</v>
      </c>
      <c r="N35" s="50"/>
      <c r="O35" s="50"/>
      <c r="P35" s="50"/>
      <c r="Q35" s="52">
        <f t="shared" si="19"/>
        <v>1492.646</v>
      </c>
      <c r="R35" s="50"/>
      <c r="S35" s="52">
        <f>M35*E$3</f>
        <v>1.5252696999999997</v>
      </c>
      <c r="T35" s="52">
        <f>S35*$E$4</f>
        <v>5.0944007979999988</v>
      </c>
      <c r="U35" s="52"/>
      <c r="V35" s="50"/>
      <c r="W35" s="50"/>
      <c r="X35" s="50"/>
      <c r="Y35" s="53">
        <f t="shared" ref="Y35" si="24">G35+M35</f>
        <v>1281.9424846176385</v>
      </c>
      <c r="Z35" s="52">
        <f t="shared" ref="Z35" si="25">H35+Q35</f>
        <v>2366.9354813946675</v>
      </c>
      <c r="AA35" s="52"/>
      <c r="AB35" s="52">
        <f t="shared" ref="AB35" si="26">D35+S35</f>
        <v>4.3752696999999996</v>
      </c>
      <c r="AC35" s="54">
        <f t="shared" ref="AC35" si="27">E35+T35</f>
        <v>8.0783507979999989</v>
      </c>
    </row>
    <row r="36" spans="1:30">
      <c r="C36">
        <f>MIN(C16:C28)</f>
        <v>26</v>
      </c>
      <c r="M36" s="22">
        <f>MIN(M17:M28)</f>
        <v>442.04999999999995</v>
      </c>
    </row>
    <row r="37" spans="1:30">
      <c r="C37">
        <f>MIN(C18:C28,C16)</f>
        <v>31</v>
      </c>
      <c r="M37" s="22">
        <f>MIN(M24:M28,M17:M22)</f>
        <v>451.75</v>
      </c>
      <c r="W37" s="26"/>
      <c r="X37" s="27"/>
      <c r="Y37" s="27" t="s">
        <v>17</v>
      </c>
      <c r="Z37" s="27" t="s">
        <v>20</v>
      </c>
      <c r="AA37" s="27" t="s">
        <v>61</v>
      </c>
      <c r="AB37" s="27" t="s">
        <v>18</v>
      </c>
      <c r="AC37" s="28" t="s">
        <v>19</v>
      </c>
      <c r="AD37" s="8" t="s">
        <v>62</v>
      </c>
    </row>
    <row r="38" spans="1:30">
      <c r="W38" s="29"/>
      <c r="X38" s="30"/>
      <c r="Y38" s="30"/>
      <c r="Z38" s="30" t="s">
        <v>88</v>
      </c>
      <c r="AA38" s="30" t="s">
        <v>87</v>
      </c>
      <c r="AB38" s="30"/>
      <c r="AC38" s="31" t="s">
        <v>88</v>
      </c>
      <c r="AD38" s="13" t="s">
        <v>87</v>
      </c>
    </row>
    <row r="39" spans="1:30">
      <c r="C39">
        <f>SUM(C23:C28)</f>
        <v>404</v>
      </c>
      <c r="M39" s="22">
        <f>SUM(M23:M28)</f>
        <v>2914.62</v>
      </c>
      <c r="W39" s="29" t="s">
        <v>78</v>
      </c>
      <c r="X39" s="30"/>
      <c r="Y39" s="44">
        <f t="shared" ref="Y39:AD39" si="28">SUM(Y17:Y28)</f>
        <v>29534.569569293879</v>
      </c>
      <c r="Z39" s="44">
        <f t="shared" si="28"/>
        <v>45032.394679050682</v>
      </c>
      <c r="AA39" s="44">
        <f t="shared" si="28"/>
        <v>37637.105479050697</v>
      </c>
      <c r="AB39" s="44">
        <f t="shared" si="28"/>
        <v>100.80148594000001</v>
      </c>
      <c r="AC39" s="45">
        <f t="shared" si="28"/>
        <v>153.69556303960002</v>
      </c>
      <c r="AD39" s="45">
        <f t="shared" si="28"/>
        <v>128.45544100000001</v>
      </c>
    </row>
    <row r="40" spans="1:30">
      <c r="C40">
        <f>SUM(C17:C28)</f>
        <v>798</v>
      </c>
      <c r="M40" s="22">
        <f>SUM(M17:M28)</f>
        <v>6153.3799999999992</v>
      </c>
      <c r="W40" s="29"/>
      <c r="X40" s="30"/>
      <c r="Y40" s="30"/>
      <c r="Z40" s="30"/>
      <c r="AA40" s="30"/>
      <c r="AB40" s="30"/>
      <c r="AC40" s="31"/>
    </row>
    <row r="41" spans="1:30">
      <c r="W41" s="38" t="s">
        <v>79</v>
      </c>
      <c r="X41" s="34"/>
      <c r="Y41" s="47">
        <f t="shared" ref="Y41:AD41" si="29">SUM(Y23:Y28)</f>
        <v>14751.713466158806</v>
      </c>
      <c r="Z41" s="47">
        <f t="shared" si="29"/>
        <v>22128.267659068268</v>
      </c>
      <c r="AA41" s="47">
        <f t="shared" si="29"/>
        <v>18767.746859068269</v>
      </c>
      <c r="AB41" s="47">
        <f t="shared" si="29"/>
        <v>50.34759806000001</v>
      </c>
      <c r="AC41" s="48">
        <f t="shared" si="29"/>
        <v>75.523777520400003</v>
      </c>
      <c r="AD41" s="48">
        <f t="shared" si="29"/>
        <v>64.05432003</v>
      </c>
    </row>
    <row r="42" spans="1:30">
      <c r="A42" s="13" t="s">
        <v>117</v>
      </c>
      <c r="E42" s="22">
        <f>SUM(E17:E28)</f>
        <v>83.550600000000003</v>
      </c>
      <c r="Q42" s="22">
        <f>SUM(Q17:Q28)*E3</f>
        <v>70.1449630396</v>
      </c>
    </row>
  </sheetData>
  <mergeCells count="1">
    <mergeCell ref="K7:L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topLeftCell="A13" workbookViewId="0">
      <selection activeCell="A8" sqref="A8:C17"/>
    </sheetView>
  </sheetViews>
  <sheetFormatPr defaultRowHeight="15"/>
  <cols>
    <col min="1" max="1" width="13.140625" bestFit="1" customWidth="1"/>
  </cols>
  <sheetData>
    <row r="1" spans="1:4">
      <c r="A1" s="13" t="s">
        <v>6</v>
      </c>
      <c r="B1" s="13" t="s">
        <v>7</v>
      </c>
      <c r="C1" s="13"/>
      <c r="D1" s="13"/>
    </row>
    <row r="2" spans="1:4">
      <c r="A2" s="13" t="s">
        <v>8</v>
      </c>
      <c r="B2" s="13" t="s">
        <v>9</v>
      </c>
      <c r="C2" s="13"/>
      <c r="D2" s="13"/>
    </row>
    <row r="3" spans="1:4">
      <c r="A3" s="13" t="s">
        <v>10</v>
      </c>
      <c r="B3" s="13" t="s">
        <v>11</v>
      </c>
      <c r="C3" s="13"/>
      <c r="D3" s="13"/>
    </row>
    <row r="4" spans="1:4">
      <c r="A4" s="13" t="s">
        <v>12</v>
      </c>
      <c r="B4" s="13" t="s">
        <v>41</v>
      </c>
      <c r="C4" s="13"/>
      <c r="D4" s="13"/>
    </row>
    <row r="5" spans="1:4">
      <c r="A5" s="13" t="s">
        <v>13</v>
      </c>
      <c r="B5" s="13" t="s">
        <v>42</v>
      </c>
      <c r="C5" s="13"/>
      <c r="D5" s="13"/>
    </row>
    <row r="6" spans="1:4">
      <c r="A6" s="13"/>
      <c r="B6" s="13"/>
      <c r="C6" s="13"/>
      <c r="D6" s="13"/>
    </row>
    <row r="7" spans="1:4">
      <c r="A7" s="13" t="s">
        <v>14</v>
      </c>
      <c r="B7" s="13" t="s">
        <v>1</v>
      </c>
      <c r="C7" s="13" t="s">
        <v>15</v>
      </c>
      <c r="D7" s="13"/>
    </row>
    <row r="8" spans="1:4" s="12" customFormat="1">
      <c r="A8" s="14">
        <v>40087</v>
      </c>
      <c r="B8" s="13">
        <v>412</v>
      </c>
      <c r="C8" s="13">
        <v>0.03</v>
      </c>
      <c r="D8" s="13"/>
    </row>
    <row r="9" spans="1:4" s="9" customFormat="1">
      <c r="A9" s="14">
        <v>40118</v>
      </c>
      <c r="B9" s="13">
        <v>485</v>
      </c>
      <c r="C9" s="13">
        <v>0</v>
      </c>
      <c r="D9" s="13"/>
    </row>
    <row r="10" spans="1:4">
      <c r="A10" s="14">
        <v>40148</v>
      </c>
      <c r="B10" s="13">
        <v>988</v>
      </c>
      <c r="C10" s="13">
        <v>0</v>
      </c>
      <c r="D10" s="13"/>
    </row>
    <row r="11" spans="1:4">
      <c r="A11" s="14">
        <v>40179</v>
      </c>
      <c r="B11" s="13">
        <v>1096</v>
      </c>
      <c r="C11" s="13">
        <v>0</v>
      </c>
      <c r="D11" s="13"/>
    </row>
    <row r="12" spans="1:4">
      <c r="A12" s="14">
        <v>40210</v>
      </c>
      <c r="B12" s="13">
        <v>901</v>
      </c>
      <c r="C12" s="13">
        <v>0</v>
      </c>
      <c r="D12" s="13"/>
    </row>
    <row r="13" spans="1:4">
      <c r="A13" s="14">
        <v>40238</v>
      </c>
      <c r="B13" s="13">
        <v>658</v>
      </c>
      <c r="C13" s="13">
        <v>0</v>
      </c>
      <c r="D13" s="13"/>
    </row>
    <row r="14" spans="1:4">
      <c r="A14" s="14">
        <v>40269</v>
      </c>
      <c r="B14" s="13">
        <v>385</v>
      </c>
      <c r="C14" s="13">
        <v>0</v>
      </c>
      <c r="D14" s="13"/>
    </row>
    <row r="15" spans="1:4">
      <c r="A15" s="14">
        <v>40299</v>
      </c>
      <c r="B15" s="13">
        <v>172</v>
      </c>
      <c r="C15" s="13">
        <v>0.1</v>
      </c>
      <c r="D15" s="13"/>
    </row>
    <row r="16" spans="1:4">
      <c r="A16" s="14">
        <v>40330</v>
      </c>
      <c r="B16" s="13">
        <v>42</v>
      </c>
      <c r="C16" s="13">
        <v>0</v>
      </c>
      <c r="D16" s="13"/>
    </row>
    <row r="17" spans="1:4">
      <c r="A17" s="14">
        <v>40360</v>
      </c>
      <c r="B17" s="13">
        <v>3</v>
      </c>
      <c r="C17" s="13">
        <v>0.1</v>
      </c>
      <c r="D17" s="13"/>
    </row>
    <row r="18" spans="1:4">
      <c r="A18" s="14">
        <v>40391</v>
      </c>
      <c r="B18" s="13">
        <v>10</v>
      </c>
      <c r="C18" s="13">
        <v>0.2</v>
      </c>
      <c r="D18" s="13"/>
    </row>
    <row r="19" spans="1:4">
      <c r="A19" s="14">
        <v>40422</v>
      </c>
      <c r="B19" s="13">
        <v>55</v>
      </c>
      <c r="C19" s="13">
        <v>0</v>
      </c>
      <c r="D19" s="13"/>
    </row>
    <row r="20" spans="1:4">
      <c r="A20" s="14">
        <v>40452</v>
      </c>
      <c r="B20" s="13">
        <v>320</v>
      </c>
      <c r="C20" s="13">
        <v>0.06</v>
      </c>
      <c r="D20" s="13"/>
    </row>
    <row r="21" spans="1:4">
      <c r="A21" s="14">
        <v>40483</v>
      </c>
      <c r="B21" s="13">
        <v>608</v>
      </c>
      <c r="C21" s="13">
        <v>0.03</v>
      </c>
      <c r="D21" s="13"/>
    </row>
    <row r="22" spans="1:4">
      <c r="A22" s="14">
        <v>40513</v>
      </c>
      <c r="B22" s="13">
        <v>1010</v>
      </c>
      <c r="C22" s="13">
        <v>0.2</v>
      </c>
      <c r="D22" s="13"/>
    </row>
    <row r="23" spans="1:4">
      <c r="A23" s="14">
        <v>40544</v>
      </c>
      <c r="B23" s="13">
        <v>1154</v>
      </c>
      <c r="C23" s="13">
        <v>0</v>
      </c>
      <c r="D23" s="13"/>
    </row>
    <row r="24" spans="1:4">
      <c r="A24" s="14">
        <v>40575</v>
      </c>
      <c r="B24" s="13">
        <v>964</v>
      </c>
      <c r="C24" s="13">
        <v>0</v>
      </c>
      <c r="D24" s="13"/>
    </row>
    <row r="25" spans="1:4">
      <c r="A25" s="14">
        <v>40603</v>
      </c>
      <c r="B25" s="13">
        <v>813</v>
      </c>
      <c r="C25" s="13">
        <v>0</v>
      </c>
      <c r="D25" s="13"/>
    </row>
    <row r="26" spans="1:4">
      <c r="A26" s="14">
        <v>40634</v>
      </c>
      <c r="B26" s="13">
        <v>468</v>
      </c>
      <c r="C26" s="13">
        <v>0.03</v>
      </c>
      <c r="D26" s="13"/>
    </row>
    <row r="27" spans="1:4">
      <c r="A27" s="14">
        <v>40664</v>
      </c>
      <c r="B27" s="13">
        <v>255</v>
      </c>
      <c r="C27" s="13">
        <v>0.03</v>
      </c>
      <c r="D27" s="13"/>
    </row>
    <row r="28" spans="1:4">
      <c r="A28" s="14">
        <v>40695</v>
      </c>
      <c r="B28" s="13">
        <v>75</v>
      </c>
      <c r="C28" s="13">
        <v>0</v>
      </c>
      <c r="D28" s="13"/>
    </row>
    <row r="29" spans="1:4">
      <c r="A29" s="14">
        <v>40725</v>
      </c>
      <c r="B29" s="13">
        <v>0</v>
      </c>
      <c r="C29" s="13">
        <v>0.03</v>
      </c>
      <c r="D29" s="13"/>
    </row>
    <row r="30" spans="1:4">
      <c r="A30" s="14">
        <v>40756</v>
      </c>
      <c r="B30" s="13">
        <v>2</v>
      </c>
      <c r="C30" s="13">
        <v>0</v>
      </c>
      <c r="D30" s="13"/>
    </row>
    <row r="31" spans="1:4">
      <c r="A31" s="14">
        <v>40787</v>
      </c>
      <c r="B31" s="13">
        <v>57</v>
      </c>
      <c r="C31" s="13">
        <v>7.0000000000000007E-2</v>
      </c>
      <c r="D31" s="13"/>
    </row>
    <row r="32" spans="1:4">
      <c r="A32" s="14">
        <v>40817</v>
      </c>
      <c r="B32" s="13">
        <v>267</v>
      </c>
      <c r="C32" s="13">
        <v>0</v>
      </c>
      <c r="D32" s="13"/>
    </row>
    <row r="33" spans="1:4">
      <c r="A33" s="14">
        <v>40848</v>
      </c>
      <c r="B33" s="13">
        <v>449</v>
      </c>
      <c r="C33" s="13">
        <v>0</v>
      </c>
      <c r="D33" s="13"/>
    </row>
    <row r="34" spans="1:4">
      <c r="A34" s="14">
        <v>40878</v>
      </c>
      <c r="B34" s="13">
        <v>764</v>
      </c>
      <c r="C34" s="13">
        <v>0</v>
      </c>
      <c r="D34" s="13"/>
    </row>
    <row r="35" spans="1:4">
      <c r="A35" s="14">
        <v>40909</v>
      </c>
      <c r="B35" s="13">
        <v>959</v>
      </c>
      <c r="C35" s="13">
        <v>0</v>
      </c>
    </row>
    <row r="36" spans="1:4">
      <c r="A36" s="14">
        <v>40940</v>
      </c>
      <c r="B36" s="13">
        <v>801</v>
      </c>
      <c r="C36" s="13">
        <v>0</v>
      </c>
    </row>
    <row r="37" spans="1:4">
      <c r="A37" s="14">
        <v>40969</v>
      </c>
      <c r="B37" s="13">
        <v>608</v>
      </c>
      <c r="C37" s="13">
        <v>0</v>
      </c>
    </row>
    <row r="38" spans="1:4">
      <c r="A38" s="14">
        <v>41000</v>
      </c>
      <c r="B38" s="13">
        <v>398</v>
      </c>
      <c r="C38" s="13">
        <v>0.03</v>
      </c>
    </row>
    <row r="39" spans="1:4">
      <c r="A39" s="14">
        <v>41030</v>
      </c>
      <c r="B39" s="13">
        <v>204</v>
      </c>
      <c r="C39" s="13">
        <v>0</v>
      </c>
    </row>
    <row r="40" spans="1:4">
      <c r="A40" s="14">
        <v>41061</v>
      </c>
      <c r="B40" s="13">
        <v>94</v>
      </c>
      <c r="C40" s="13">
        <v>0.03</v>
      </c>
    </row>
    <row r="41" spans="1:4">
      <c r="A41" s="14">
        <v>41091</v>
      </c>
      <c r="B41" s="13">
        <v>2</v>
      </c>
      <c r="C41" s="13">
        <v>0.2</v>
      </c>
    </row>
    <row r="42" spans="1:4">
      <c r="A42" s="14">
        <v>41122</v>
      </c>
      <c r="B42" s="13">
        <v>2</v>
      </c>
      <c r="C42" s="13">
        <v>0</v>
      </c>
    </row>
    <row r="43" spans="1:4">
      <c r="A43" s="13"/>
      <c r="B43" s="13"/>
      <c r="C43" s="13"/>
    </row>
    <row r="44" spans="1:4">
      <c r="A44" s="13"/>
      <c r="B44" s="13"/>
      <c r="C44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4"/>
  <sheetViews>
    <sheetView topLeftCell="A4" workbookViewId="0">
      <selection activeCell="L31" sqref="L31"/>
    </sheetView>
  </sheetViews>
  <sheetFormatPr defaultRowHeight="15"/>
  <cols>
    <col min="1" max="1" width="13.140625" bestFit="1" customWidth="1"/>
  </cols>
  <sheetData>
    <row r="1" spans="1:4">
      <c r="A1" s="13" t="s">
        <v>6</v>
      </c>
      <c r="B1" s="13" t="s">
        <v>16</v>
      </c>
      <c r="C1" s="13"/>
      <c r="D1" s="13"/>
    </row>
    <row r="2" spans="1:4">
      <c r="A2" s="13" t="s">
        <v>8</v>
      </c>
      <c r="B2" s="13" t="s">
        <v>9</v>
      </c>
      <c r="C2" s="13"/>
      <c r="D2" s="13"/>
    </row>
    <row r="3" spans="1:4">
      <c r="A3" s="13" t="s">
        <v>10</v>
      </c>
      <c r="B3" s="13" t="s">
        <v>11</v>
      </c>
      <c r="C3" s="13"/>
      <c r="D3" s="13"/>
    </row>
    <row r="4" spans="1:4">
      <c r="A4" s="13" t="s">
        <v>12</v>
      </c>
      <c r="B4" s="13" t="s">
        <v>41</v>
      </c>
      <c r="C4" s="13"/>
      <c r="D4" s="13"/>
    </row>
    <row r="5" spans="1:4">
      <c r="A5" s="13" t="s">
        <v>13</v>
      </c>
      <c r="B5" s="13" t="s">
        <v>42</v>
      </c>
      <c r="C5" s="13"/>
      <c r="D5" s="13"/>
    </row>
    <row r="6" spans="1:4">
      <c r="A6" s="13"/>
      <c r="B6" s="13"/>
      <c r="C6" s="13"/>
      <c r="D6" s="13"/>
    </row>
    <row r="7" spans="1:4">
      <c r="A7" s="13" t="s">
        <v>14</v>
      </c>
      <c r="B7" s="13" t="s">
        <v>5</v>
      </c>
      <c r="C7" s="13" t="s">
        <v>15</v>
      </c>
      <c r="D7" s="13"/>
    </row>
    <row r="8" spans="1:4" s="11" customFormat="1">
      <c r="A8" s="14">
        <v>40391</v>
      </c>
      <c r="B8" s="13">
        <v>263</v>
      </c>
      <c r="C8" s="13">
        <v>0.2</v>
      </c>
      <c r="D8" s="13"/>
    </row>
    <row r="9" spans="1:4" s="10" customFormat="1">
      <c r="A9" s="14">
        <v>40422</v>
      </c>
      <c r="B9" s="13">
        <v>151</v>
      </c>
      <c r="C9" s="13">
        <v>0</v>
      </c>
      <c r="D9" s="13"/>
    </row>
    <row r="10" spans="1:4">
      <c r="A10" s="14">
        <v>40452</v>
      </c>
      <c r="B10" s="13">
        <v>18</v>
      </c>
      <c r="C10" s="13">
        <v>0.06</v>
      </c>
      <c r="D10" s="13"/>
    </row>
    <row r="11" spans="1:4">
      <c r="A11" s="14">
        <v>40483</v>
      </c>
      <c r="B11" s="13">
        <v>0</v>
      </c>
      <c r="C11" s="13">
        <v>0.03</v>
      </c>
      <c r="D11" s="13"/>
    </row>
    <row r="12" spans="1:4">
      <c r="A12" s="14">
        <v>40513</v>
      </c>
      <c r="B12" s="13">
        <v>0</v>
      </c>
      <c r="C12" s="13">
        <v>0.2</v>
      </c>
      <c r="D12" s="13"/>
    </row>
    <row r="13" spans="1:4">
      <c r="A13" s="14">
        <v>40544</v>
      </c>
      <c r="B13" s="13">
        <v>0</v>
      </c>
      <c r="C13" s="13">
        <v>0</v>
      </c>
      <c r="D13" s="13"/>
    </row>
    <row r="14" spans="1:4">
      <c r="A14" s="14">
        <v>40575</v>
      </c>
      <c r="B14" s="13">
        <v>0</v>
      </c>
      <c r="C14" s="13">
        <v>0</v>
      </c>
      <c r="D14" s="13"/>
    </row>
    <row r="15" spans="1:4">
      <c r="A15" s="14">
        <v>40603</v>
      </c>
      <c r="B15" s="13">
        <v>1</v>
      </c>
      <c r="C15" s="13">
        <v>0</v>
      </c>
      <c r="D15" s="13"/>
    </row>
    <row r="16" spans="1:4">
      <c r="A16" s="14">
        <v>40634</v>
      </c>
      <c r="B16" s="13">
        <v>8</v>
      </c>
      <c r="C16" s="13">
        <v>0.03</v>
      </c>
      <c r="D16" s="13"/>
    </row>
    <row r="17" spans="1:4">
      <c r="A17" s="14">
        <v>40664</v>
      </c>
      <c r="B17" s="13">
        <v>50</v>
      </c>
      <c r="C17" s="13">
        <v>0.03</v>
      </c>
      <c r="D17" s="13"/>
    </row>
    <row r="18" spans="1:4">
      <c r="A18" s="14">
        <v>40695</v>
      </c>
      <c r="B18" s="13">
        <v>130</v>
      </c>
      <c r="C18" s="13">
        <v>0</v>
      </c>
      <c r="D18" s="13"/>
    </row>
    <row r="19" spans="1:4">
      <c r="A19" s="14">
        <v>40725</v>
      </c>
      <c r="B19" s="13">
        <v>374</v>
      </c>
      <c r="C19" s="13">
        <v>0.03</v>
      </c>
      <c r="D19" s="13"/>
    </row>
    <row r="20" spans="1:4">
      <c r="A20" s="14">
        <v>40756</v>
      </c>
      <c r="B20" s="13">
        <v>260</v>
      </c>
      <c r="C20" s="13">
        <v>0</v>
      </c>
      <c r="D20" s="13"/>
    </row>
    <row r="21" spans="1:4">
      <c r="A21" s="14">
        <v>40787</v>
      </c>
      <c r="B21" s="13">
        <v>115</v>
      </c>
      <c r="C21" s="13">
        <v>7.0000000000000007E-2</v>
      </c>
      <c r="D21" s="13"/>
    </row>
    <row r="22" spans="1:4">
      <c r="A22" s="14">
        <v>40817</v>
      </c>
      <c r="B22" s="13">
        <v>29</v>
      </c>
      <c r="C22" s="13">
        <v>0</v>
      </c>
      <c r="D22" s="13"/>
    </row>
    <row r="23" spans="1:4">
      <c r="A23" s="14">
        <v>40848</v>
      </c>
      <c r="B23" s="13">
        <v>1</v>
      </c>
      <c r="C23" s="13">
        <v>0</v>
      </c>
      <c r="D23" s="13"/>
    </row>
    <row r="24" spans="1:4">
      <c r="A24" s="14">
        <v>40878</v>
      </c>
      <c r="B24" s="13">
        <v>0</v>
      </c>
      <c r="C24" s="13">
        <v>0</v>
      </c>
      <c r="D24" s="13"/>
    </row>
    <row r="25" spans="1:4">
      <c r="A25" s="14">
        <v>40909</v>
      </c>
      <c r="B25" s="13">
        <v>0</v>
      </c>
      <c r="C25" s="13">
        <v>0</v>
      </c>
      <c r="D25" s="13"/>
    </row>
    <row r="26" spans="1:4">
      <c r="A26" s="14">
        <v>40940</v>
      </c>
      <c r="B26" s="13">
        <v>0</v>
      </c>
      <c r="C26" s="13">
        <v>0</v>
      </c>
      <c r="D26" s="13"/>
    </row>
    <row r="27" spans="1:4">
      <c r="A27" s="14">
        <v>40969</v>
      </c>
      <c r="B27" s="13">
        <v>18</v>
      </c>
      <c r="C27" s="13">
        <v>0</v>
      </c>
      <c r="D27" s="13"/>
    </row>
    <row r="28" spans="1:4">
      <c r="A28" s="14">
        <v>41000</v>
      </c>
      <c r="B28" s="13">
        <v>25</v>
      </c>
      <c r="C28" s="13">
        <v>0.03</v>
      </c>
      <c r="D28" s="13"/>
    </row>
    <row r="29" spans="1:4">
      <c r="A29" s="14">
        <v>41030</v>
      </c>
      <c r="B29" s="13">
        <v>42</v>
      </c>
      <c r="C29" s="13">
        <v>0</v>
      </c>
      <c r="D29" s="13"/>
    </row>
    <row r="30" spans="1:4">
      <c r="A30" s="14">
        <v>41061</v>
      </c>
      <c r="B30" s="13">
        <v>142</v>
      </c>
      <c r="C30" s="13">
        <v>0.03</v>
      </c>
      <c r="D30" s="13"/>
    </row>
    <row r="31" spans="1:4">
      <c r="A31" s="14">
        <v>41091</v>
      </c>
      <c r="B31" s="13">
        <v>304</v>
      </c>
      <c r="C31" s="13">
        <v>0.2</v>
      </c>
      <c r="D31" s="13"/>
    </row>
    <row r="32" spans="1:4">
      <c r="A32" s="14">
        <v>41122</v>
      </c>
      <c r="B32" s="13">
        <v>293</v>
      </c>
      <c r="C32" s="13">
        <v>0</v>
      </c>
      <c r="D32" s="13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52"/>
  <sheetViews>
    <sheetView workbookViewId="0">
      <selection activeCell="J5" sqref="J5"/>
    </sheetView>
  </sheetViews>
  <sheetFormatPr defaultRowHeight="15"/>
  <cols>
    <col min="4" max="5" width="9.140625" style="13"/>
  </cols>
  <sheetData>
    <row r="1" spans="1:29" ht="20.25">
      <c r="A1" s="55" t="s">
        <v>89</v>
      </c>
      <c r="B1" s="56"/>
      <c r="C1" s="57"/>
      <c r="D1" s="57"/>
      <c r="E1" s="57"/>
      <c r="F1" s="58"/>
      <c r="G1" s="58"/>
      <c r="H1" s="58"/>
      <c r="I1" s="58"/>
      <c r="J1" s="59"/>
      <c r="K1" s="60"/>
      <c r="L1" s="61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63"/>
      <c r="Z1" s="63"/>
      <c r="AA1" s="63"/>
      <c r="AB1" s="63"/>
      <c r="AC1" s="63"/>
    </row>
    <row r="2" spans="1:29" ht="20.25">
      <c r="A2" s="55"/>
      <c r="B2" s="64"/>
      <c r="C2" s="57"/>
      <c r="D2" s="57"/>
      <c r="E2" s="57"/>
      <c r="F2" s="58"/>
      <c r="G2" s="58"/>
      <c r="H2" s="65"/>
      <c r="I2" s="65"/>
      <c r="J2" s="59"/>
      <c r="K2" s="60"/>
      <c r="L2" s="61"/>
      <c r="M2" s="62"/>
      <c r="N2" s="62"/>
      <c r="O2" s="62"/>
      <c r="P2" s="62"/>
      <c r="Q2" s="62"/>
      <c r="R2" s="62"/>
      <c r="S2" s="62"/>
      <c r="T2" s="62"/>
      <c r="U2" s="62"/>
      <c r="V2" s="63"/>
      <c r="W2" s="63"/>
      <c r="X2" s="63"/>
      <c r="Y2" s="63"/>
      <c r="Z2" s="63"/>
      <c r="AA2" s="63"/>
      <c r="AB2" s="63"/>
      <c r="AC2" s="63"/>
    </row>
    <row r="3" spans="1:29" ht="20.25">
      <c r="A3" s="55"/>
      <c r="B3" s="64"/>
      <c r="C3" s="57"/>
      <c r="D3" s="57"/>
      <c r="E3" s="57"/>
      <c r="F3" s="58"/>
      <c r="G3" s="58"/>
      <c r="H3" s="65"/>
      <c r="I3" s="65"/>
      <c r="J3" s="59"/>
      <c r="K3" s="60"/>
      <c r="L3" s="61"/>
      <c r="M3" s="62"/>
      <c r="N3" s="62"/>
      <c r="O3" s="62"/>
      <c r="P3" s="62"/>
      <c r="Q3" s="62"/>
      <c r="R3" s="62"/>
      <c r="S3" s="62"/>
      <c r="T3" s="62"/>
      <c r="U3" s="62"/>
      <c r="V3" s="63"/>
      <c r="W3" s="63"/>
      <c r="X3" s="63"/>
      <c r="Y3" s="63"/>
      <c r="Z3" s="63"/>
      <c r="AA3" s="63"/>
      <c r="AB3" s="63"/>
      <c r="AC3" s="63"/>
    </row>
    <row r="4" spans="1:29">
      <c r="A4" s="63"/>
      <c r="B4" s="66"/>
      <c r="C4" s="67" t="s">
        <v>99</v>
      </c>
      <c r="D4" s="67"/>
      <c r="E4" s="67"/>
      <c r="F4" s="68" t="str">
        <f>HDD!B4</f>
        <v>Boston, MA, US (71.00W,42.36N)</v>
      </c>
      <c r="G4" s="68"/>
      <c r="H4" s="58"/>
      <c r="I4" s="58"/>
      <c r="J4" s="125" t="s">
        <v>94</v>
      </c>
      <c r="K4" s="125"/>
      <c r="L4" s="125"/>
      <c r="M4" s="62"/>
      <c r="N4" s="62"/>
      <c r="O4" s="62"/>
      <c r="P4" s="62"/>
      <c r="Q4" s="62"/>
      <c r="R4" s="62"/>
      <c r="S4" s="62"/>
      <c r="T4" s="62"/>
      <c r="U4" s="62"/>
      <c r="V4" s="63"/>
      <c r="W4" s="63"/>
      <c r="X4" s="63"/>
      <c r="Y4" s="63"/>
      <c r="Z4" s="63"/>
      <c r="AA4" s="63"/>
      <c r="AB4" s="63"/>
      <c r="AC4" s="63"/>
    </row>
    <row r="5" spans="1:29" ht="26.25">
      <c r="A5" s="69" t="s">
        <v>90</v>
      </c>
      <c r="B5" s="70" t="s">
        <v>91</v>
      </c>
      <c r="C5" s="71" t="s">
        <v>112</v>
      </c>
      <c r="D5" s="71"/>
      <c r="E5" s="71"/>
      <c r="F5" s="72" t="s">
        <v>92</v>
      </c>
      <c r="G5" s="73" t="s">
        <v>93</v>
      </c>
      <c r="H5" s="74"/>
      <c r="I5" s="74"/>
      <c r="J5" s="75"/>
      <c r="K5" s="75" t="s">
        <v>96</v>
      </c>
      <c r="L5" s="75" t="s">
        <v>97</v>
      </c>
      <c r="M5" s="76"/>
      <c r="N5" s="76"/>
      <c r="O5" s="76"/>
      <c r="P5" s="76"/>
      <c r="Q5" s="76"/>
      <c r="R5" s="76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29">
      <c r="A6" s="63"/>
      <c r="B6" s="66"/>
      <c r="C6" s="57"/>
      <c r="D6" s="57" t="s">
        <v>98</v>
      </c>
      <c r="E6" s="57" t="s">
        <v>47</v>
      </c>
      <c r="F6" s="59"/>
      <c r="G6" s="60"/>
      <c r="H6" s="61"/>
      <c r="I6" s="61"/>
      <c r="J6" s="62"/>
      <c r="K6" s="62"/>
      <c r="L6" s="62"/>
      <c r="M6" s="62" t="s">
        <v>113</v>
      </c>
      <c r="N6" s="62" t="s">
        <v>101</v>
      </c>
      <c r="O6" s="62"/>
      <c r="P6" s="62" t="s">
        <v>113</v>
      </c>
      <c r="Q6" s="62"/>
      <c r="R6" s="62"/>
      <c r="S6" s="63"/>
      <c r="T6" s="63"/>
      <c r="U6" s="77"/>
      <c r="V6" s="63"/>
      <c r="W6" s="63"/>
      <c r="X6" s="63"/>
      <c r="Y6" s="63"/>
      <c r="Z6" s="63"/>
      <c r="AA6" s="63"/>
      <c r="AB6" s="63"/>
      <c r="AC6" s="63"/>
    </row>
    <row r="7" spans="1:29">
      <c r="A7" s="78"/>
      <c r="B7" s="66"/>
      <c r="C7" s="57"/>
      <c r="D7" s="57"/>
      <c r="E7" s="57"/>
      <c r="F7" s="79"/>
      <c r="G7" s="79"/>
      <c r="H7" s="58"/>
      <c r="I7" s="58"/>
      <c r="J7" s="80"/>
      <c r="K7" s="81"/>
      <c r="L7" s="81"/>
      <c r="M7" s="81" t="s">
        <v>115</v>
      </c>
      <c r="N7" s="62" t="s">
        <v>28</v>
      </c>
      <c r="O7" s="82"/>
      <c r="P7" s="30" t="s">
        <v>114</v>
      </c>
      <c r="Q7" s="30"/>
      <c r="R7" s="62"/>
      <c r="S7" s="63"/>
      <c r="T7" s="58"/>
      <c r="U7" s="63"/>
      <c r="V7" s="63"/>
      <c r="W7" s="63"/>
      <c r="X7" s="63"/>
      <c r="Y7" s="63"/>
      <c r="Z7" s="63"/>
      <c r="AA7" s="63"/>
      <c r="AB7" s="63"/>
      <c r="AC7" s="63"/>
    </row>
    <row r="8" spans="1:29">
      <c r="A8" s="83">
        <f>'Energy Use'!B16</f>
        <v>40735</v>
      </c>
      <c r="B8" s="84"/>
      <c r="C8" s="85"/>
      <c r="D8" s="85">
        <f>'Energy Use'!S16</f>
        <v>0</v>
      </c>
      <c r="E8" s="108">
        <f>'Energy Use'!D16</f>
        <v>3.4000000000000004</v>
      </c>
      <c r="F8" s="86">
        <f>CDD!B19</f>
        <v>374</v>
      </c>
      <c r="G8" s="86">
        <f>HDD!B29</f>
        <v>0</v>
      </c>
      <c r="H8" s="98"/>
      <c r="I8" s="87"/>
      <c r="J8" s="86"/>
      <c r="K8" s="88">
        <v>284</v>
      </c>
      <c r="L8" s="88">
        <v>3</v>
      </c>
      <c r="M8" s="82"/>
      <c r="N8" s="62"/>
      <c r="O8" s="89"/>
      <c r="P8" s="30"/>
      <c r="Q8" s="30"/>
      <c r="R8" s="62"/>
      <c r="S8" s="62"/>
      <c r="T8" s="62"/>
      <c r="U8" s="62"/>
      <c r="V8" s="63"/>
      <c r="W8" s="58"/>
      <c r="X8" s="63"/>
      <c r="Y8" s="63"/>
      <c r="Z8" s="63"/>
      <c r="AA8" s="63"/>
      <c r="AB8" s="63"/>
      <c r="AC8" s="63"/>
    </row>
    <row r="9" spans="1:29">
      <c r="A9" s="83">
        <f>'Energy Use'!B17</f>
        <v>40766</v>
      </c>
      <c r="B9" s="66"/>
      <c r="C9" s="85"/>
      <c r="D9" s="108">
        <f>'Energy Use'!S17</f>
        <v>1.9411437499999999</v>
      </c>
      <c r="E9" s="108">
        <f>'Energy Use'!D17</f>
        <v>2.6</v>
      </c>
      <c r="F9" s="86">
        <f>CDD!B20</f>
        <v>260</v>
      </c>
      <c r="G9" s="86">
        <f>HDD!B30</f>
        <v>2</v>
      </c>
      <c r="H9" s="98"/>
      <c r="I9" s="90"/>
      <c r="J9" s="91"/>
      <c r="K9" s="82">
        <v>193</v>
      </c>
      <c r="L9" s="82">
        <v>5</v>
      </c>
      <c r="M9" s="109">
        <f>0.0104*L9+2.6558</f>
        <v>2.7078000000000002</v>
      </c>
      <c r="N9" s="110">
        <f>D9+M9</f>
        <v>4.6489437499999999</v>
      </c>
      <c r="O9" s="89"/>
      <c r="P9" s="111">
        <f>D9*'Energy Use'!$E$4+M9*'Energy Use'!$E$5</f>
        <v>9.3184867249999996</v>
      </c>
      <c r="Q9" s="8"/>
      <c r="R9" s="62"/>
      <c r="S9" s="62"/>
      <c r="T9" s="62"/>
      <c r="U9" s="62"/>
      <c r="V9" s="63"/>
      <c r="W9" s="63"/>
      <c r="X9" s="63"/>
      <c r="Y9" s="63"/>
      <c r="Z9" s="63"/>
      <c r="AA9" s="63"/>
      <c r="AB9" s="63"/>
      <c r="AC9" s="63"/>
    </row>
    <row r="10" spans="1:29">
      <c r="A10" s="83">
        <f>'Energy Use'!B18</f>
        <v>40797</v>
      </c>
      <c r="B10" s="66"/>
      <c r="C10" s="85"/>
      <c r="D10" s="108">
        <f>'Energy Use'!S18</f>
        <v>1.7124727499999999</v>
      </c>
      <c r="E10" s="108">
        <f>'Energy Use'!D18</f>
        <v>4.2</v>
      </c>
      <c r="F10" s="86">
        <f>CDD!B21</f>
        <v>115</v>
      </c>
      <c r="G10" s="86">
        <f>HDD!B31</f>
        <v>57</v>
      </c>
      <c r="H10" s="98"/>
      <c r="I10" s="90"/>
      <c r="J10" s="91"/>
      <c r="K10" s="82">
        <v>53</v>
      </c>
      <c r="L10" s="82">
        <v>66</v>
      </c>
      <c r="M10" s="109">
        <f t="shared" ref="M10:M20" si="0">0.0104*L10+2.6558</f>
        <v>3.3422000000000001</v>
      </c>
      <c r="N10" s="110">
        <f t="shared" ref="N10:N20" si="1">D10+M10</f>
        <v>5.0546727499999999</v>
      </c>
      <c r="O10" s="89"/>
      <c r="P10" s="111">
        <f>D10*'Energy Use'!$E$4+M10*'Energy Use'!$E$5</f>
        <v>9.2189423850000001</v>
      </c>
      <c r="Q10" s="8"/>
      <c r="R10" s="62"/>
      <c r="S10" s="62"/>
      <c r="T10" s="62"/>
      <c r="U10" s="62"/>
      <c r="V10" s="63"/>
      <c r="W10" s="63"/>
      <c r="X10" s="63"/>
      <c r="Y10" s="63"/>
      <c r="Z10" s="63"/>
      <c r="AA10" s="63"/>
      <c r="AB10" s="63"/>
      <c r="AC10" s="63"/>
    </row>
    <row r="11" spans="1:29">
      <c r="A11" s="83">
        <f>'Energy Use'!B19</f>
        <v>40827</v>
      </c>
      <c r="B11" s="66"/>
      <c r="C11" s="85"/>
      <c r="D11" s="108">
        <f>'Energy Use'!S19</f>
        <v>1.6578647499999999</v>
      </c>
      <c r="E11" s="108">
        <f>'Energy Use'!D19</f>
        <v>3.8000000000000003</v>
      </c>
      <c r="F11" s="86">
        <f>CDD!B22</f>
        <v>29</v>
      </c>
      <c r="G11" s="86">
        <f>HDD!B32</f>
        <v>267</v>
      </c>
      <c r="H11" s="98"/>
      <c r="I11" s="58"/>
      <c r="J11" s="79"/>
      <c r="K11" s="81">
        <v>9</v>
      </c>
      <c r="L11" s="81">
        <v>348</v>
      </c>
      <c r="M11" s="109">
        <f t="shared" si="0"/>
        <v>6.2750000000000004</v>
      </c>
      <c r="N11" s="110">
        <f t="shared" si="1"/>
        <v>7.9328647500000002</v>
      </c>
      <c r="O11" s="89"/>
      <c r="P11" s="111">
        <f>D11*'Energy Use'!$E$4+M11*'Energy Use'!$E$5</f>
        <v>12.107193264999999</v>
      </c>
      <c r="Q11" s="8"/>
      <c r="R11" s="62"/>
      <c r="S11" s="62"/>
      <c r="T11" s="62"/>
      <c r="U11" s="62"/>
      <c r="V11" s="63"/>
      <c r="W11" s="63"/>
      <c r="X11" s="63"/>
      <c r="Y11" s="63"/>
      <c r="Z11" s="63"/>
      <c r="AA11" s="63"/>
      <c r="AB11" s="63"/>
      <c r="AC11" s="63"/>
    </row>
    <row r="12" spans="1:29">
      <c r="A12" s="83">
        <f>'Energy Use'!B20</f>
        <v>40858</v>
      </c>
      <c r="B12" s="66"/>
      <c r="C12" s="85"/>
      <c r="D12" s="108">
        <f>'Energy Use'!S20</f>
        <v>1.7030528699999998</v>
      </c>
      <c r="E12" s="108">
        <f>'Energy Use'!D20</f>
        <v>6.5</v>
      </c>
      <c r="F12" s="86">
        <f>CDD!B23</f>
        <v>1</v>
      </c>
      <c r="G12" s="86">
        <f>HDD!B33</f>
        <v>449</v>
      </c>
      <c r="H12" s="98"/>
      <c r="I12" s="58"/>
      <c r="J12" s="79"/>
      <c r="K12" s="81">
        <v>0</v>
      </c>
      <c r="L12" s="81">
        <v>652</v>
      </c>
      <c r="M12" s="109">
        <f t="shared" si="0"/>
        <v>9.4365999999999985</v>
      </c>
      <c r="N12" s="110">
        <f t="shared" si="1"/>
        <v>11.139652869999999</v>
      </c>
      <c r="O12" s="89"/>
      <c r="P12" s="111">
        <f>D12*'Energy Use'!$E$4+M12*'Energy Use'!$E$5</f>
        <v>15.568316785799997</v>
      </c>
      <c r="Q12" s="8"/>
      <c r="R12" s="62"/>
      <c r="S12" s="62"/>
      <c r="T12" s="62"/>
      <c r="U12" s="62"/>
      <c r="V12" s="57"/>
      <c r="W12" s="57"/>
      <c r="X12" s="63"/>
      <c r="Y12" s="63"/>
      <c r="Z12" s="63"/>
      <c r="AA12" s="63"/>
      <c r="AB12" s="63"/>
      <c r="AC12" s="63"/>
    </row>
    <row r="13" spans="1:29">
      <c r="A13" s="83">
        <f>'Energy Use'!B21</f>
        <v>40888</v>
      </c>
      <c r="B13" s="66"/>
      <c r="C13" s="85"/>
      <c r="D13" s="108">
        <f>'Energy Use'!S21</f>
        <v>1.8166375099999998</v>
      </c>
      <c r="E13" s="108">
        <f>'Energy Use'!D21</f>
        <v>7.3000000000000007</v>
      </c>
      <c r="F13" s="86">
        <f>CDD!B24</f>
        <v>0</v>
      </c>
      <c r="G13" s="86">
        <f>HDD!B34</f>
        <v>764</v>
      </c>
      <c r="H13" s="98"/>
      <c r="I13" s="58"/>
      <c r="J13" s="79"/>
      <c r="K13" s="81">
        <v>0</v>
      </c>
      <c r="L13" s="81">
        <v>902</v>
      </c>
      <c r="M13" s="109">
        <f t="shared" si="0"/>
        <v>12.0366</v>
      </c>
      <c r="N13" s="110">
        <f t="shared" si="1"/>
        <v>13.85323751</v>
      </c>
      <c r="O13" s="89"/>
      <c r="P13" s="111">
        <f>D13*'Energy Use'!$E$4+M13*'Energy Use'!$E$5</f>
        <v>18.669889483399999</v>
      </c>
      <c r="Q13" s="8"/>
      <c r="R13" s="62"/>
      <c r="S13" s="62"/>
      <c r="T13" s="62"/>
      <c r="U13" s="62"/>
      <c r="V13" s="63"/>
      <c r="W13" s="63"/>
      <c r="X13" s="63"/>
      <c r="Y13" s="63"/>
      <c r="Z13" s="63"/>
      <c r="AA13" s="63"/>
      <c r="AB13" s="63"/>
      <c r="AC13" s="63"/>
    </row>
    <row r="14" spans="1:29">
      <c r="A14" s="83">
        <f>'Energy Use'!B22</f>
        <v>40920</v>
      </c>
      <c r="B14" s="66"/>
      <c r="C14" s="85"/>
      <c r="D14" s="108">
        <f>'Energy Use'!S22</f>
        <v>2.2227162499999999</v>
      </c>
      <c r="E14" s="108">
        <f>'Energy Use'!D22</f>
        <v>15</v>
      </c>
      <c r="F14" s="86">
        <f>CDD!B25</f>
        <v>0</v>
      </c>
      <c r="G14" s="86">
        <f>HDD!B35</f>
        <v>959</v>
      </c>
      <c r="H14" s="98"/>
      <c r="I14" s="58"/>
      <c r="J14" s="79"/>
      <c r="K14" s="81">
        <v>0</v>
      </c>
      <c r="L14" s="81">
        <v>1189</v>
      </c>
      <c r="M14" s="109">
        <f t="shared" si="0"/>
        <v>15.0214</v>
      </c>
      <c r="N14" s="110">
        <f t="shared" si="1"/>
        <v>17.244116250000001</v>
      </c>
      <c r="O14" s="89"/>
      <c r="P14" s="111">
        <f>D14*'Energy Use'!$E$4+M14*'Energy Use'!$E$5</f>
        <v>23.151278075</v>
      </c>
      <c r="Q14" s="8"/>
      <c r="R14" s="62"/>
      <c r="S14" s="62"/>
      <c r="T14" s="62"/>
      <c r="U14" s="62"/>
      <c r="V14" s="63"/>
      <c r="W14" s="63"/>
      <c r="X14" s="63"/>
      <c r="Y14" s="63"/>
      <c r="Z14" s="63"/>
      <c r="AA14" s="63"/>
      <c r="AB14" s="63"/>
      <c r="AC14" s="63"/>
    </row>
    <row r="15" spans="1:29">
      <c r="A15" s="83">
        <f>'Energy Use'!B23</f>
        <v>40940</v>
      </c>
      <c r="B15" s="66"/>
      <c r="C15" s="85"/>
      <c r="D15" s="108">
        <f>'Energy Use'!S23</f>
        <v>1.5087166499999998</v>
      </c>
      <c r="E15" s="108">
        <f>'Energy Use'!D23</f>
        <v>11</v>
      </c>
      <c r="F15" s="86">
        <f>CDD!B26</f>
        <v>0</v>
      </c>
      <c r="G15" s="86">
        <f>HDD!B36</f>
        <v>801</v>
      </c>
      <c r="H15" s="98"/>
      <c r="I15" s="58"/>
      <c r="J15" s="79"/>
      <c r="K15" s="81">
        <v>0</v>
      </c>
      <c r="L15" s="81">
        <v>950</v>
      </c>
      <c r="M15" s="109">
        <f t="shared" si="0"/>
        <v>12.535799999999998</v>
      </c>
      <c r="N15" s="110">
        <f t="shared" si="1"/>
        <v>14.044516649999998</v>
      </c>
      <c r="O15" s="89"/>
      <c r="P15" s="111">
        <f>D15*'Energy Use'!$E$4+M15*'Energy Use'!$E$5</f>
        <v>18.164096210999997</v>
      </c>
      <c r="Q15" s="8"/>
      <c r="R15" s="62"/>
      <c r="S15" s="62"/>
      <c r="T15" s="62"/>
      <c r="U15" s="62"/>
      <c r="V15" s="63"/>
      <c r="W15" s="63"/>
      <c r="X15" s="63"/>
      <c r="Y15" s="63"/>
      <c r="Z15" s="63"/>
      <c r="AA15" s="63"/>
      <c r="AB15" s="63"/>
      <c r="AC15" s="63"/>
    </row>
    <row r="16" spans="1:29">
      <c r="A16" s="83">
        <f>'Energy Use'!B24</f>
        <v>40969</v>
      </c>
      <c r="B16" s="66"/>
      <c r="C16" s="85"/>
      <c r="D16" s="108">
        <f>'Energy Use'!S24</f>
        <v>1.6781379699999999</v>
      </c>
      <c r="E16" s="108">
        <f>'Energy Use'!D24</f>
        <v>10.3</v>
      </c>
      <c r="F16" s="86">
        <f>CDD!B27</f>
        <v>18</v>
      </c>
      <c r="G16" s="86">
        <f>HDD!B37</f>
        <v>608</v>
      </c>
      <c r="H16" s="98"/>
      <c r="I16" s="58"/>
      <c r="J16" s="79"/>
      <c r="K16" s="81">
        <v>0</v>
      </c>
      <c r="L16" s="81">
        <v>813</v>
      </c>
      <c r="M16" s="109">
        <f t="shared" si="0"/>
        <v>11.111000000000001</v>
      </c>
      <c r="N16" s="110">
        <f t="shared" si="1"/>
        <v>12.789137970000001</v>
      </c>
      <c r="O16" s="89"/>
      <c r="P16" s="111">
        <f>D16*'Energy Use'!$E$4+M16*'Energy Use'!$E$5</f>
        <v>17.2381978198</v>
      </c>
      <c r="Q16" s="8"/>
      <c r="R16" s="62"/>
      <c r="S16" s="62"/>
      <c r="T16" s="62"/>
      <c r="U16" s="62"/>
      <c r="V16" s="63"/>
      <c r="W16" s="63"/>
      <c r="X16" s="63"/>
      <c r="Y16" s="63"/>
      <c r="Z16" s="63"/>
      <c r="AA16" s="63"/>
      <c r="AB16" s="63"/>
      <c r="AC16" s="63"/>
    </row>
    <row r="17" spans="1:29">
      <c r="A17" s="83">
        <f>'Energy Use'!B25</f>
        <v>41000</v>
      </c>
      <c r="B17" s="66"/>
      <c r="C17" s="85"/>
      <c r="D17" s="108">
        <f>'Energy Use'!S25</f>
        <v>1.63376897</v>
      </c>
      <c r="E17" s="108">
        <f>'Energy Use'!D25</f>
        <v>7.2</v>
      </c>
      <c r="F17" s="86">
        <f>CDD!B28</f>
        <v>25</v>
      </c>
      <c r="G17" s="86">
        <f>HDD!B38</f>
        <v>398</v>
      </c>
      <c r="H17" s="98"/>
      <c r="I17" s="58"/>
      <c r="J17" s="79"/>
      <c r="K17" s="81">
        <v>9</v>
      </c>
      <c r="L17" s="81">
        <v>537</v>
      </c>
      <c r="M17" s="109">
        <f t="shared" si="0"/>
        <v>8.2406000000000006</v>
      </c>
      <c r="N17" s="110">
        <f t="shared" si="1"/>
        <v>9.8743689700000008</v>
      </c>
      <c r="O17" s="89"/>
      <c r="P17" s="111">
        <f>D17*'Energy Use'!$E$4+M17*'Energy Use'!$E$5</f>
        <v>14.084696559800001</v>
      </c>
      <c r="Q17" s="8"/>
      <c r="R17" s="62"/>
      <c r="S17" s="62"/>
      <c r="T17" s="62"/>
      <c r="U17" s="62"/>
      <c r="V17" s="63"/>
      <c r="W17" s="63"/>
      <c r="X17" s="62"/>
      <c r="Y17" s="62"/>
      <c r="Z17" s="62"/>
      <c r="AA17" s="62"/>
      <c r="AB17" s="62"/>
      <c r="AC17" s="62"/>
    </row>
    <row r="18" spans="1:29">
      <c r="A18" s="83">
        <f>'Energy Use'!B26</f>
        <v>41030</v>
      </c>
      <c r="B18" s="66"/>
      <c r="C18" s="85"/>
      <c r="D18" s="108">
        <f>'Energy Use'!S26</f>
        <v>2.0160249700000001</v>
      </c>
      <c r="E18" s="108">
        <f>'Energy Use'!D26</f>
        <v>4.9000000000000004</v>
      </c>
      <c r="F18" s="86">
        <f>CDD!B29</f>
        <v>42</v>
      </c>
      <c r="G18" s="86">
        <f>HDD!B39</f>
        <v>204</v>
      </c>
      <c r="H18" s="98"/>
      <c r="I18" s="58"/>
      <c r="J18" s="79"/>
      <c r="K18" s="81">
        <v>30</v>
      </c>
      <c r="L18" s="81">
        <v>204</v>
      </c>
      <c r="M18" s="109">
        <f t="shared" si="0"/>
        <v>4.7774000000000001</v>
      </c>
      <c r="N18" s="110">
        <f t="shared" si="1"/>
        <v>6.7934249700000002</v>
      </c>
      <c r="O18" s="89"/>
      <c r="P18" s="111">
        <f>D18*'Energy Use'!$E$4+M18*'Energy Use'!$E$5</f>
        <v>11.7354611998</v>
      </c>
      <c r="Q18" s="8"/>
      <c r="R18" s="62"/>
      <c r="S18" s="62"/>
      <c r="T18" s="62"/>
      <c r="U18" s="62"/>
      <c r="V18" s="63"/>
      <c r="W18" s="63"/>
      <c r="X18" s="62"/>
      <c r="Y18" s="62"/>
      <c r="Z18" s="62"/>
      <c r="AA18" s="62"/>
      <c r="AB18" s="62"/>
      <c r="AC18" s="62"/>
    </row>
    <row r="19" spans="1:29">
      <c r="A19" s="83">
        <f>'Energy Use'!B27</f>
        <v>41061</v>
      </c>
      <c r="B19" s="66"/>
      <c r="C19" s="85"/>
      <c r="D19" s="108">
        <f>'Energy Use'!S27</f>
        <v>1.5418227499999999</v>
      </c>
      <c r="E19" s="108">
        <f>'Energy Use'!D27</f>
        <v>3.9000000000000004</v>
      </c>
      <c r="F19" s="86">
        <f>CDD!B30</f>
        <v>142</v>
      </c>
      <c r="G19" s="86">
        <f>HDD!B40</f>
        <v>94</v>
      </c>
      <c r="H19" s="98"/>
      <c r="I19" s="58"/>
      <c r="J19" s="79"/>
      <c r="K19" s="81">
        <v>116</v>
      </c>
      <c r="L19" s="81">
        <v>87</v>
      </c>
      <c r="M19" s="109">
        <f t="shared" si="0"/>
        <v>3.5606</v>
      </c>
      <c r="N19" s="110">
        <f t="shared" si="1"/>
        <v>5.1024227499999997</v>
      </c>
      <c r="O19" s="89"/>
      <c r="P19" s="111">
        <f>D19*'Energy Use'!$E$4+M19*'Energy Use'!$E$5</f>
        <v>8.8776361850000001</v>
      </c>
      <c r="Q19" s="8"/>
      <c r="R19" s="62"/>
      <c r="S19" s="62"/>
      <c r="T19" s="62"/>
      <c r="U19" s="62"/>
      <c r="V19" s="63"/>
      <c r="W19" s="63"/>
      <c r="X19" s="62"/>
      <c r="Y19" s="62"/>
      <c r="Z19" s="62"/>
      <c r="AA19" s="62"/>
      <c r="AB19" s="62"/>
      <c r="AC19" s="62"/>
    </row>
    <row r="20" spans="1:29">
      <c r="A20" s="83">
        <f>'Energy Use'!B28</f>
        <v>41101</v>
      </c>
      <c r="B20" s="84"/>
      <c r="C20" s="85"/>
      <c r="D20" s="108">
        <f>'Energy Use'!S28</f>
        <v>1.5691267499999999</v>
      </c>
      <c r="E20" s="108">
        <f>'Energy Use'!D28</f>
        <v>3.1</v>
      </c>
      <c r="F20" s="86">
        <f>CDD!B31</f>
        <v>304</v>
      </c>
      <c r="G20" s="86">
        <f>HDD!B41</f>
        <v>2</v>
      </c>
      <c r="H20" s="98"/>
      <c r="I20" s="87"/>
      <c r="J20" s="86"/>
      <c r="K20" s="88">
        <v>284</v>
      </c>
      <c r="L20" s="88">
        <v>3</v>
      </c>
      <c r="M20" s="112">
        <f t="shared" si="0"/>
        <v>2.6870000000000003</v>
      </c>
      <c r="N20" s="113">
        <f t="shared" si="1"/>
        <v>4.25612675</v>
      </c>
      <c r="O20" s="84"/>
      <c r="P20" s="114">
        <f>D20*'Energy Use'!$E$4+M20*'Energy Use'!$E$5</f>
        <v>8.0541723449999996</v>
      </c>
      <c r="Q20" s="8"/>
      <c r="R20" s="62"/>
      <c r="S20" s="62"/>
      <c r="T20" s="62"/>
      <c r="U20" s="62"/>
      <c r="V20" s="63"/>
      <c r="W20" s="63"/>
      <c r="X20" s="62"/>
      <c r="Y20" s="62"/>
      <c r="Z20" s="62"/>
      <c r="AA20" s="62"/>
      <c r="AB20" s="62"/>
      <c r="AC20" s="62"/>
    </row>
    <row r="21" spans="1:29">
      <c r="A21" s="92"/>
      <c r="B21" s="66"/>
      <c r="C21" s="57"/>
      <c r="D21" s="57"/>
      <c r="E21" s="57"/>
      <c r="F21" s="79"/>
      <c r="G21" s="79"/>
      <c r="H21" s="58"/>
      <c r="I21" s="58"/>
      <c r="J21" s="79"/>
      <c r="K21" s="82"/>
      <c r="L21" s="82"/>
      <c r="M21" s="93"/>
      <c r="N21" s="110">
        <f>SUM(N9:N20)</f>
        <v>112.73348594000001</v>
      </c>
      <c r="O21" s="106"/>
      <c r="P21" s="111">
        <f>SUM(P9:P20)</f>
        <v>166.1883670396</v>
      </c>
      <c r="Q21" s="8"/>
      <c r="R21" s="62"/>
      <c r="S21" s="62"/>
      <c r="T21" s="62"/>
      <c r="U21" s="62"/>
      <c r="V21" s="63"/>
      <c r="W21" s="63"/>
      <c r="X21" s="62"/>
      <c r="Y21" s="62"/>
      <c r="Z21" s="62"/>
      <c r="AA21" s="62"/>
      <c r="AB21" s="62"/>
      <c r="AC21" s="62"/>
    </row>
    <row r="22" spans="1:29">
      <c r="A22" s="92"/>
      <c r="B22" s="66"/>
      <c r="C22" s="57"/>
      <c r="D22" s="57"/>
      <c r="E22" s="57"/>
      <c r="F22" s="79"/>
      <c r="G22" s="79"/>
      <c r="H22" s="58"/>
      <c r="I22" s="58"/>
      <c r="J22" s="79"/>
      <c r="K22" s="81"/>
      <c r="L22" s="81"/>
      <c r="M22" s="93"/>
      <c r="N22" s="110">
        <f>SUM(D9:D20)+SUM(E9:E20)</f>
        <v>100.80148594000001</v>
      </c>
      <c r="O22" s="106"/>
      <c r="P22" s="107"/>
      <c r="Q22" s="8"/>
      <c r="R22" s="62"/>
      <c r="S22" s="62"/>
      <c r="T22" s="62"/>
      <c r="U22" s="62"/>
      <c r="V22" s="63"/>
      <c r="W22" s="63"/>
      <c r="X22" s="62"/>
      <c r="Y22" s="62"/>
      <c r="Z22" s="62"/>
      <c r="AA22" s="62"/>
      <c r="AB22" s="62"/>
      <c r="AC22" s="62"/>
    </row>
    <row r="23" spans="1:29">
      <c r="A23" s="92"/>
      <c r="B23" s="66"/>
      <c r="C23" s="57"/>
      <c r="D23" s="57"/>
      <c r="E23" s="57"/>
      <c r="F23" s="79"/>
      <c r="G23" s="79"/>
      <c r="H23" s="58"/>
      <c r="I23" s="58"/>
      <c r="J23" s="79"/>
      <c r="K23" s="81"/>
      <c r="L23" s="81"/>
      <c r="M23" s="94"/>
      <c r="N23" s="62"/>
      <c r="O23" s="106"/>
      <c r="P23" s="107"/>
      <c r="Q23" s="8"/>
      <c r="R23" s="62"/>
      <c r="S23" s="62"/>
      <c r="T23" s="62"/>
      <c r="U23" s="62"/>
      <c r="V23" s="63"/>
      <c r="W23" s="63"/>
      <c r="X23" s="62"/>
      <c r="Y23" s="62"/>
      <c r="Z23" s="62"/>
      <c r="AA23" s="62"/>
      <c r="AB23" s="62"/>
      <c r="AC23" s="62"/>
    </row>
    <row r="24" spans="1:29">
      <c r="A24" s="92"/>
      <c r="B24" s="66"/>
      <c r="C24" s="57"/>
      <c r="D24" s="57"/>
      <c r="E24" s="57"/>
      <c r="F24" s="79"/>
      <c r="G24" s="79"/>
      <c r="H24" s="58"/>
      <c r="I24" s="58"/>
      <c r="J24" s="79"/>
      <c r="K24" s="81"/>
      <c r="L24" s="81"/>
      <c r="M24" s="95"/>
      <c r="N24" s="95">
        <f>(N22-N21)/N22</f>
        <v>-0.11837127090668363</v>
      </c>
      <c r="O24" s="89"/>
      <c r="P24" s="8"/>
      <c r="Q24" s="8"/>
      <c r="R24" s="62"/>
      <c r="S24" s="62"/>
      <c r="T24" s="62"/>
      <c r="U24" s="62"/>
      <c r="V24" s="63"/>
      <c r="W24" s="63"/>
      <c r="X24" s="62"/>
      <c r="Y24" s="62"/>
      <c r="Z24" s="62"/>
      <c r="AA24" s="62"/>
      <c r="AB24" s="62"/>
      <c r="AC24" s="62"/>
    </row>
    <row r="25" spans="1:29">
      <c r="A25" s="92"/>
      <c r="B25" s="66"/>
      <c r="C25" s="57"/>
      <c r="D25" s="57"/>
      <c r="E25" s="57"/>
      <c r="F25" s="79"/>
      <c r="G25" s="79"/>
      <c r="H25" s="58"/>
      <c r="I25" s="58"/>
      <c r="J25" s="79"/>
      <c r="K25" s="81"/>
      <c r="L25" s="81"/>
      <c r="M25" s="62"/>
      <c r="N25" s="62"/>
      <c r="O25" s="89"/>
      <c r="P25" s="8"/>
      <c r="Q25" s="8"/>
      <c r="R25" s="62"/>
      <c r="S25" s="62"/>
      <c r="T25" s="62"/>
      <c r="U25" s="62"/>
      <c r="V25" s="63"/>
      <c r="W25" s="63"/>
      <c r="X25" s="62"/>
      <c r="Y25" s="62"/>
      <c r="Z25" s="62"/>
      <c r="AA25" s="62"/>
      <c r="AB25" s="62"/>
      <c r="AC25" s="62"/>
    </row>
    <row r="26" spans="1:29">
      <c r="A26" s="92"/>
      <c r="B26" s="66"/>
      <c r="C26" s="57"/>
      <c r="D26" s="57"/>
      <c r="E26" s="57"/>
      <c r="F26" s="79"/>
      <c r="G26" s="79"/>
      <c r="H26" s="58"/>
      <c r="I26" s="58"/>
      <c r="J26" s="79"/>
      <c r="K26" s="81"/>
      <c r="L26" s="81"/>
      <c r="M26" s="62"/>
      <c r="N26" s="62"/>
      <c r="O26" s="89"/>
      <c r="P26" s="8"/>
      <c r="Q26" s="8"/>
      <c r="R26" s="62"/>
      <c r="S26" s="62"/>
      <c r="T26" s="62"/>
      <c r="U26" s="62"/>
      <c r="V26" s="63"/>
      <c r="W26" s="63"/>
      <c r="X26" s="62"/>
      <c r="Y26" s="62"/>
      <c r="Z26" s="62"/>
      <c r="AA26" s="62"/>
      <c r="AB26" s="62"/>
      <c r="AC26" s="62"/>
    </row>
    <row r="27" spans="1:29">
      <c r="A27" s="92"/>
      <c r="B27" s="66"/>
      <c r="C27" s="57"/>
      <c r="D27" s="57"/>
      <c r="E27" s="57"/>
      <c r="F27" s="79"/>
      <c r="G27" s="79"/>
      <c r="H27" s="58"/>
      <c r="I27" s="58"/>
      <c r="J27" s="79"/>
      <c r="K27" s="81"/>
      <c r="L27" s="81"/>
      <c r="M27" s="62"/>
      <c r="N27" s="62"/>
      <c r="O27" s="89"/>
      <c r="P27" s="8"/>
      <c r="Q27" s="8"/>
      <c r="R27" s="62"/>
      <c r="S27" s="62"/>
      <c r="T27" s="62"/>
      <c r="U27" s="62"/>
      <c r="V27" s="63"/>
      <c r="W27" s="63"/>
      <c r="X27" s="62"/>
      <c r="Y27" s="62"/>
      <c r="Z27" s="62"/>
      <c r="AA27" s="62"/>
      <c r="AB27" s="62"/>
      <c r="AC27" s="62"/>
    </row>
    <row r="28" spans="1:29">
      <c r="A28" s="92"/>
      <c r="B28" s="66"/>
      <c r="C28" s="57"/>
      <c r="D28" s="57"/>
      <c r="E28" s="57"/>
      <c r="F28" s="79"/>
      <c r="G28" s="79"/>
      <c r="H28" s="58"/>
      <c r="I28" s="58"/>
      <c r="J28" s="79"/>
      <c r="K28" s="81"/>
      <c r="L28" s="81"/>
      <c r="M28" s="62"/>
      <c r="N28" s="62"/>
      <c r="O28" s="89"/>
      <c r="P28" s="8"/>
      <c r="Q28" s="8"/>
      <c r="R28" s="62"/>
      <c r="S28" s="62"/>
      <c r="T28" s="62"/>
      <c r="U28" s="62"/>
      <c r="V28" s="63"/>
      <c r="W28" s="63"/>
      <c r="X28" s="62"/>
      <c r="Y28" s="62"/>
      <c r="Z28" s="62"/>
      <c r="AA28" s="62"/>
      <c r="AB28" s="62"/>
      <c r="AC28" s="62"/>
    </row>
    <row r="29" spans="1:29">
      <c r="A29" s="92"/>
      <c r="B29" s="66"/>
      <c r="C29" s="57"/>
      <c r="D29" s="57"/>
      <c r="E29" s="57"/>
      <c r="F29" s="79"/>
      <c r="G29" s="79"/>
      <c r="H29" s="58"/>
      <c r="I29" s="58"/>
      <c r="J29" s="79"/>
      <c r="K29" s="81"/>
      <c r="L29" s="81"/>
      <c r="M29" s="62"/>
      <c r="N29" s="62"/>
      <c r="O29" s="89"/>
      <c r="P29" s="8"/>
      <c r="Q29" s="8"/>
      <c r="R29" s="62"/>
      <c r="S29" s="62"/>
      <c r="T29" s="62"/>
      <c r="U29" s="62"/>
      <c r="V29" s="63"/>
      <c r="W29" s="63"/>
      <c r="X29" s="62"/>
      <c r="Y29" s="62"/>
      <c r="Z29" s="62"/>
      <c r="AA29" s="62"/>
      <c r="AB29" s="62"/>
      <c r="AC29" s="62"/>
    </row>
    <row r="30" spans="1:29">
      <c r="A30" s="92"/>
      <c r="B30" s="66"/>
      <c r="C30" s="57"/>
      <c r="D30" s="57"/>
      <c r="E30" s="57"/>
      <c r="F30" s="79"/>
      <c r="G30" s="79"/>
      <c r="H30" s="58"/>
      <c r="I30" s="58"/>
      <c r="J30" s="79"/>
      <c r="K30" s="81"/>
      <c r="L30" s="81"/>
      <c r="M30" s="62"/>
      <c r="N30" s="62"/>
      <c r="O30" s="89"/>
      <c r="P30" s="8"/>
      <c r="Q30" s="8"/>
      <c r="R30" s="62"/>
      <c r="S30" s="62"/>
      <c r="T30" s="62"/>
      <c r="U30" s="62"/>
      <c r="V30" s="63"/>
      <c r="W30" s="63"/>
      <c r="X30" s="62"/>
      <c r="Y30" s="62"/>
      <c r="Z30" s="62"/>
      <c r="AA30" s="62"/>
      <c r="AB30" s="62"/>
      <c r="AC30" s="62"/>
    </row>
    <row r="31" spans="1:29">
      <c r="A31" s="92"/>
      <c r="B31" s="66"/>
      <c r="C31" s="57"/>
      <c r="D31" s="57"/>
      <c r="E31" s="57"/>
      <c r="F31" s="79"/>
      <c r="G31" s="79"/>
      <c r="H31" s="58"/>
      <c r="I31" s="58"/>
      <c r="J31" s="79"/>
      <c r="K31" s="81"/>
      <c r="L31" s="81"/>
      <c r="M31" s="62"/>
      <c r="N31" s="62"/>
      <c r="O31" s="89"/>
      <c r="P31" s="8"/>
      <c r="Q31" s="8"/>
      <c r="R31" s="62"/>
      <c r="S31" s="62"/>
      <c r="T31" s="62"/>
      <c r="U31" s="62"/>
      <c r="V31" s="63"/>
      <c r="W31" s="63"/>
      <c r="X31" s="62"/>
      <c r="Y31" s="62"/>
      <c r="Z31" s="62"/>
      <c r="AA31" s="62"/>
      <c r="AB31" s="62"/>
      <c r="AC31" s="62"/>
    </row>
    <row r="32" spans="1:29">
      <c r="A32" s="92"/>
      <c r="B32" s="66"/>
      <c r="C32" s="57"/>
      <c r="D32" s="57"/>
      <c r="E32" s="57"/>
      <c r="F32" s="79"/>
      <c r="G32" s="79"/>
      <c r="H32" s="58"/>
      <c r="I32" s="58"/>
      <c r="J32" s="79"/>
      <c r="K32" s="81"/>
      <c r="L32" s="81"/>
      <c r="M32" s="62"/>
      <c r="N32" s="62"/>
      <c r="O32" s="89"/>
      <c r="P32" s="8"/>
      <c r="Q32" s="8"/>
      <c r="R32" s="62"/>
      <c r="S32" s="62"/>
      <c r="T32" s="62"/>
      <c r="U32" s="62"/>
      <c r="V32" s="63"/>
      <c r="W32" s="63"/>
      <c r="X32" s="62"/>
      <c r="Y32" s="62"/>
      <c r="Z32" s="62"/>
      <c r="AA32" s="62"/>
      <c r="AB32" s="62"/>
      <c r="AC32" s="62"/>
    </row>
    <row r="33" spans="1:29">
      <c r="A33" s="92"/>
      <c r="B33" s="66"/>
      <c r="C33" s="57"/>
      <c r="D33" s="57"/>
      <c r="E33" s="57"/>
      <c r="F33" s="79"/>
      <c r="G33" s="79"/>
      <c r="H33" s="58"/>
      <c r="I33" s="58"/>
      <c r="J33" s="79"/>
      <c r="K33" s="81"/>
      <c r="L33" s="81"/>
      <c r="M33" s="62"/>
      <c r="N33" s="62"/>
      <c r="O33" s="89"/>
      <c r="P33" s="8"/>
      <c r="Q33" s="8"/>
      <c r="R33" s="62"/>
      <c r="S33" s="62"/>
      <c r="T33" s="62"/>
      <c r="U33" s="62"/>
      <c r="V33" s="63"/>
      <c r="W33" s="63"/>
      <c r="X33" s="62"/>
      <c r="Y33" s="62"/>
      <c r="Z33" s="62"/>
      <c r="AA33" s="62"/>
      <c r="AB33" s="62"/>
      <c r="AC33" s="62"/>
    </row>
    <row r="34" spans="1:29">
      <c r="A34" s="92"/>
      <c r="B34" s="66"/>
      <c r="C34" s="57"/>
      <c r="D34" s="57"/>
      <c r="E34" s="57"/>
      <c r="F34" s="79"/>
      <c r="G34" s="79"/>
      <c r="H34" s="58"/>
      <c r="I34" s="58"/>
      <c r="J34" s="79"/>
      <c r="K34" s="81"/>
      <c r="L34" s="81"/>
      <c r="M34" s="62"/>
      <c r="N34" s="62"/>
      <c r="O34" s="89"/>
      <c r="P34" s="8"/>
      <c r="Q34" s="8"/>
      <c r="R34" s="62"/>
      <c r="S34" s="62"/>
      <c r="T34" s="62"/>
      <c r="U34" s="62"/>
      <c r="V34" s="63"/>
      <c r="W34" s="63"/>
      <c r="X34" s="62"/>
      <c r="Y34" s="62"/>
      <c r="Z34" s="62"/>
      <c r="AA34" s="62"/>
      <c r="AB34" s="62"/>
      <c r="AC34" s="62"/>
    </row>
    <row r="35" spans="1:29">
      <c r="A35" s="63"/>
      <c r="B35" s="66"/>
      <c r="C35" s="57"/>
      <c r="D35" s="57"/>
      <c r="E35" s="57"/>
      <c r="F35" s="58"/>
      <c r="G35" s="58"/>
      <c r="H35" s="58"/>
      <c r="I35" s="58"/>
      <c r="J35" s="79"/>
      <c r="K35" s="60"/>
      <c r="L35" s="61"/>
      <c r="M35" s="62"/>
      <c r="N35" s="62"/>
      <c r="O35" s="96"/>
      <c r="P35" s="62"/>
      <c r="Q35" s="62"/>
      <c r="R35" s="62"/>
      <c r="S35" s="62"/>
      <c r="T35" s="62"/>
      <c r="U35" s="62"/>
      <c r="V35" s="63"/>
      <c r="W35" s="63"/>
      <c r="X35" s="62"/>
      <c r="Y35" s="62"/>
      <c r="Z35" s="62"/>
      <c r="AA35" s="62"/>
      <c r="AB35" s="62"/>
      <c r="AC35" s="62"/>
    </row>
    <row r="36" spans="1:29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2"/>
      <c r="O36" s="62"/>
      <c r="P36" s="62"/>
      <c r="Q36" s="62"/>
      <c r="R36" s="62"/>
      <c r="S36" s="62"/>
      <c r="T36" s="62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3"/>
      <c r="M37" s="63"/>
      <c r="N37" s="62"/>
      <c r="O37" s="62"/>
      <c r="P37" s="62"/>
      <c r="Q37" s="62"/>
      <c r="R37" s="62"/>
      <c r="S37" s="62"/>
      <c r="T37" s="62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63"/>
      <c r="N38" s="63"/>
      <c r="O38" s="63"/>
      <c r="P38" s="63"/>
      <c r="Q38" s="63"/>
      <c r="R38" s="63"/>
      <c r="S38" s="63"/>
      <c r="T38" s="6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3"/>
      <c r="M39" s="63"/>
      <c r="N39" s="62"/>
      <c r="O39" s="62"/>
      <c r="P39" s="62"/>
      <c r="Q39" s="62"/>
      <c r="R39" s="62"/>
      <c r="S39" s="62"/>
      <c r="T39" s="62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3"/>
      <c r="M40" s="63"/>
      <c r="N40" s="62"/>
      <c r="O40" s="62"/>
      <c r="P40" s="62"/>
      <c r="Q40" s="62"/>
      <c r="R40" s="62"/>
      <c r="S40" s="62"/>
      <c r="T40" s="62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3"/>
      <c r="M41" s="63"/>
      <c r="N41" s="62"/>
      <c r="O41" s="62"/>
      <c r="P41" s="62"/>
      <c r="Q41" s="62"/>
      <c r="R41" s="62"/>
      <c r="S41" s="62"/>
      <c r="T41" s="62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3"/>
      <c r="M42" s="63"/>
      <c r="N42" s="62"/>
      <c r="O42" s="62"/>
      <c r="P42" s="62"/>
      <c r="Q42" s="62"/>
      <c r="R42" s="62"/>
      <c r="S42" s="62"/>
      <c r="T42" s="62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3"/>
      <c r="M43" s="63"/>
      <c r="N43" s="62"/>
      <c r="O43" s="62"/>
      <c r="P43" s="62"/>
      <c r="Q43" s="62"/>
      <c r="R43" s="62"/>
      <c r="S43" s="62"/>
      <c r="T43" s="62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63"/>
      <c r="N44" s="62"/>
      <c r="O44" s="62"/>
      <c r="P44" s="62"/>
      <c r="Q44" s="62"/>
      <c r="R44" s="62"/>
      <c r="S44" s="62"/>
      <c r="T44" s="62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>
      <c r="A45" s="63"/>
      <c r="B45" s="66"/>
      <c r="C45" s="57"/>
      <c r="D45" s="57"/>
      <c r="E45" s="57"/>
      <c r="F45" s="58"/>
      <c r="G45" s="58"/>
      <c r="H45" s="58"/>
      <c r="I45" s="58"/>
      <c r="J45" s="59"/>
      <c r="K45" s="60"/>
      <c r="L45" s="61"/>
      <c r="M45" s="62"/>
      <c r="N45" s="62"/>
      <c r="O45" s="62"/>
      <c r="P45" s="62"/>
      <c r="Q45" s="62"/>
      <c r="R45" s="62"/>
      <c r="S45" s="62"/>
      <c r="T45" s="62"/>
      <c r="U45" s="62"/>
      <c r="V45" s="63"/>
      <c r="W45" s="63"/>
      <c r="X45" s="63"/>
      <c r="Y45" s="63"/>
      <c r="Z45" s="63"/>
      <c r="AA45" s="63"/>
      <c r="AB45" s="63"/>
      <c r="AC45" s="63"/>
    </row>
    <row r="46" spans="1:29">
      <c r="A46" s="63"/>
      <c r="B46" s="66"/>
      <c r="C46" s="57"/>
      <c r="D46" s="57"/>
      <c r="E46" s="57"/>
      <c r="F46" s="58"/>
      <c r="G46" s="58"/>
      <c r="H46" s="58"/>
      <c r="I46" s="58"/>
      <c r="J46" s="59"/>
      <c r="K46" s="60"/>
      <c r="L46" s="61"/>
      <c r="M46" s="62"/>
      <c r="N46" s="62"/>
      <c r="O46" s="62"/>
      <c r="P46" s="62"/>
      <c r="Q46" s="62"/>
      <c r="R46" s="62"/>
      <c r="S46" s="62"/>
      <c r="T46" s="62"/>
      <c r="U46" s="62"/>
      <c r="V46" s="63"/>
      <c r="W46" s="63"/>
      <c r="X46" s="63"/>
      <c r="Y46" s="63"/>
      <c r="Z46" s="63"/>
      <c r="AA46" s="63"/>
      <c r="AB46" s="63"/>
      <c r="AC46" s="63"/>
    </row>
    <row r="47" spans="1:29">
      <c r="A47" s="63"/>
      <c r="B47" s="66"/>
      <c r="C47" s="57"/>
      <c r="D47" s="57"/>
      <c r="E47" s="57"/>
      <c r="F47" s="58"/>
      <c r="G47" s="58"/>
      <c r="H47" s="58"/>
      <c r="I47" s="58"/>
      <c r="J47" s="59"/>
      <c r="K47" s="60"/>
      <c r="L47" s="61"/>
      <c r="M47" s="62"/>
      <c r="N47" s="62"/>
      <c r="O47" s="62"/>
      <c r="P47" s="62"/>
      <c r="Q47" s="62"/>
      <c r="R47" s="62"/>
      <c r="S47" s="62"/>
      <c r="T47" s="62"/>
      <c r="U47" s="97"/>
      <c r="V47" s="63"/>
      <c r="W47" s="63"/>
      <c r="X47" s="63"/>
      <c r="Y47" s="63"/>
      <c r="Z47" s="63"/>
      <c r="AA47" s="63"/>
      <c r="AB47" s="63"/>
      <c r="AC47" s="63"/>
    </row>
    <row r="48" spans="1:29">
      <c r="A48" s="63"/>
      <c r="B48" s="66"/>
      <c r="C48" s="57"/>
      <c r="D48" s="57"/>
      <c r="E48" s="57"/>
      <c r="F48" s="58"/>
      <c r="G48" s="58"/>
      <c r="H48" s="58"/>
      <c r="I48" s="58"/>
      <c r="J48" s="59"/>
      <c r="K48" s="60"/>
      <c r="L48" s="61"/>
      <c r="M48" s="62"/>
      <c r="N48" s="62"/>
      <c r="O48" s="62"/>
      <c r="P48" s="62"/>
      <c r="Q48" s="62"/>
      <c r="R48" s="62"/>
      <c r="S48" s="62"/>
      <c r="T48" s="62"/>
      <c r="U48" s="62"/>
      <c r="V48" s="63"/>
      <c r="W48" s="63"/>
      <c r="X48" s="63"/>
      <c r="Y48" s="63"/>
      <c r="Z48" s="63"/>
      <c r="AA48" s="63"/>
      <c r="AB48" s="63"/>
      <c r="AC48" s="63"/>
    </row>
    <row r="49" spans="1:29">
      <c r="A49" s="63"/>
      <c r="B49" s="66"/>
      <c r="C49" s="57"/>
      <c r="D49" s="57"/>
      <c r="E49" s="57"/>
      <c r="F49" s="58"/>
      <c r="G49" s="58"/>
      <c r="H49" s="58"/>
      <c r="I49" s="58"/>
      <c r="J49" s="59"/>
      <c r="K49" s="60"/>
      <c r="L49" s="61"/>
      <c r="M49" s="62"/>
      <c r="N49" s="62"/>
      <c r="O49" s="62"/>
      <c r="P49" s="62"/>
      <c r="Q49" s="62"/>
      <c r="R49" s="62"/>
      <c r="S49" s="62"/>
      <c r="T49" s="62"/>
      <c r="U49" s="62"/>
      <c r="V49" s="63"/>
      <c r="W49" s="63"/>
      <c r="X49" s="63"/>
      <c r="Y49" s="63"/>
      <c r="Z49" s="63"/>
      <c r="AA49" s="63"/>
      <c r="AB49" s="63"/>
      <c r="AC49" s="63"/>
    </row>
    <row r="50" spans="1:29">
      <c r="A50" s="63"/>
      <c r="B50" s="66"/>
      <c r="C50" s="57"/>
      <c r="D50" s="57"/>
      <c r="E50" s="57"/>
      <c r="F50" s="58"/>
      <c r="G50" s="58"/>
      <c r="H50" s="58"/>
      <c r="I50" s="58"/>
      <c r="J50" s="59"/>
      <c r="K50" s="60"/>
      <c r="L50" s="61"/>
      <c r="M50" s="62"/>
      <c r="N50" s="62"/>
      <c r="O50" s="62"/>
      <c r="P50" s="62"/>
      <c r="Q50" s="62"/>
      <c r="R50" s="62"/>
      <c r="S50" s="62"/>
      <c r="T50" s="62"/>
      <c r="U50" s="62"/>
      <c r="V50" s="63"/>
      <c r="W50" s="63"/>
      <c r="X50" s="63"/>
      <c r="Y50" s="63"/>
      <c r="Z50" s="63"/>
      <c r="AA50" s="63"/>
      <c r="AB50" s="63"/>
      <c r="AC50" s="63"/>
    </row>
    <row r="51" spans="1:29">
      <c r="A51" s="63"/>
      <c r="B51" s="66"/>
      <c r="C51" s="57"/>
      <c r="D51" s="57"/>
      <c r="E51" s="57"/>
      <c r="F51" s="58"/>
      <c r="G51" s="58"/>
      <c r="H51" s="58"/>
      <c r="I51" s="58"/>
      <c r="J51" s="59"/>
      <c r="K51" s="60"/>
      <c r="L51" s="61"/>
      <c r="M51" s="62"/>
      <c r="N51" s="62"/>
      <c r="O51" s="62"/>
      <c r="P51" s="62"/>
      <c r="Q51" s="62"/>
      <c r="R51" s="62"/>
      <c r="S51" s="62"/>
      <c r="T51" s="62"/>
      <c r="U51" s="62"/>
      <c r="V51" s="63"/>
      <c r="W51" s="63"/>
      <c r="X51" s="63"/>
      <c r="Y51" s="63"/>
      <c r="Z51" s="63"/>
      <c r="AA51" s="63"/>
      <c r="AB51" s="63"/>
      <c r="AC51" s="63"/>
    </row>
    <row r="52" spans="1:29">
      <c r="A52" s="63"/>
      <c r="B52" s="66"/>
      <c r="C52" s="57"/>
      <c r="D52" s="57"/>
      <c r="E52" s="57"/>
      <c r="F52" s="58"/>
      <c r="G52" s="58"/>
      <c r="H52" s="58"/>
      <c r="I52" s="58"/>
      <c r="J52" s="59"/>
      <c r="K52" s="60"/>
      <c r="L52" s="61"/>
      <c r="M52" s="62"/>
      <c r="N52" s="62"/>
      <c r="O52" s="62"/>
      <c r="P52" s="62"/>
      <c r="Q52" s="62"/>
      <c r="R52" s="62"/>
      <c r="S52" s="62"/>
      <c r="T52" s="62"/>
      <c r="U52" s="62"/>
      <c r="V52" s="63"/>
      <c r="W52" s="63"/>
      <c r="X52" s="63"/>
      <c r="Y52" s="63"/>
      <c r="Z52" s="63"/>
      <c r="AA52" s="63"/>
      <c r="AB52" s="63"/>
      <c r="AC52" s="63"/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2013-03-18T13:09:51Z</dcterms:modified>
</cp:coreProperties>
</file>