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2980" windowHeight="9525" activeTab="3"/>
  </bookViews>
  <sheets>
    <sheet name="Pre Retrofit" sheetId="9" r:id="rId1"/>
    <sheet name="Gas" sheetId="1" r:id="rId2"/>
    <sheet name="Elec" sheetId="2" r:id="rId3"/>
    <sheet name="Energy Use" sheetId="10" r:id="rId4"/>
    <sheet name="Energy Use w solar thermal" sheetId="8" r:id="rId5"/>
    <sheet name="HDD" sheetId="5" r:id="rId6"/>
    <sheet name="CDD" sheetId="4" r:id="rId7"/>
    <sheet name="Weather Lin Regr Analysis" sheetId="3" r:id="rId8"/>
    <sheet name="Sheet1" sheetId="11" r:id="rId9"/>
  </sheets>
  <calcPr calcId="125725"/>
</workbook>
</file>

<file path=xl/calcChain.xml><?xml version="1.0" encoding="utf-8"?>
<calcChain xmlns="http://schemas.openxmlformats.org/spreadsheetml/2006/main">
  <c r="D30" i="10"/>
  <c r="E30"/>
  <c r="AB30"/>
  <c r="C17"/>
  <c r="C18"/>
  <c r="C34" s="1"/>
  <c r="C27"/>
  <c r="C28"/>
  <c r="D28" s="1"/>
  <c r="E2"/>
  <c r="K17"/>
  <c r="O17" s="1"/>
  <c r="L17"/>
  <c r="N17"/>
  <c r="K18"/>
  <c r="L18"/>
  <c r="O18" s="1"/>
  <c r="P18" s="1"/>
  <c r="N18"/>
  <c r="K19"/>
  <c r="O19" s="1"/>
  <c r="P19" s="1"/>
  <c r="L19"/>
  <c r="N19"/>
  <c r="K20"/>
  <c r="L20"/>
  <c r="O20" s="1"/>
  <c r="P20" s="1"/>
  <c r="N20"/>
  <c r="K21"/>
  <c r="O21" s="1"/>
  <c r="P21" s="1"/>
  <c r="L21"/>
  <c r="N21"/>
  <c r="K22"/>
  <c r="L22"/>
  <c r="O22" s="1"/>
  <c r="P22" s="1"/>
  <c r="N22"/>
  <c r="K23"/>
  <c r="O23" s="1"/>
  <c r="L23"/>
  <c r="N23"/>
  <c r="K24"/>
  <c r="L24"/>
  <c r="O24" s="1"/>
  <c r="P24" s="1"/>
  <c r="N24"/>
  <c r="K25"/>
  <c r="O25" s="1"/>
  <c r="P25" s="1"/>
  <c r="L25"/>
  <c r="N25"/>
  <c r="K26"/>
  <c r="L26"/>
  <c r="O26" s="1"/>
  <c r="P26" s="1"/>
  <c r="N26"/>
  <c r="K27"/>
  <c r="O27" s="1"/>
  <c r="P27" s="1"/>
  <c r="L27"/>
  <c r="N27"/>
  <c r="K28"/>
  <c r="L28"/>
  <c r="O28" s="1"/>
  <c r="P28" s="1"/>
  <c r="N28"/>
  <c r="E3"/>
  <c r="D17"/>
  <c r="E9" i="3" s="1"/>
  <c r="D18" i="10"/>
  <c r="E10" i="3" s="1"/>
  <c r="C19" i="10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D27"/>
  <c r="E19" i="3" s="1"/>
  <c r="M20"/>
  <c r="M19"/>
  <c r="M18"/>
  <c r="M17"/>
  <c r="M16"/>
  <c r="M15"/>
  <c r="M14"/>
  <c r="M13"/>
  <c r="M12"/>
  <c r="M11"/>
  <c r="M10"/>
  <c r="M9"/>
  <c r="C16" i="10"/>
  <c r="D16" s="1"/>
  <c r="E1"/>
  <c r="A20" i="3"/>
  <c r="A19"/>
  <c r="A18"/>
  <c r="A17"/>
  <c r="A16"/>
  <c r="A15"/>
  <c r="A14"/>
  <c r="A13"/>
  <c r="A12"/>
  <c r="A11"/>
  <c r="A10"/>
  <c r="A9"/>
  <c r="A8"/>
  <c r="G20"/>
  <c r="G19"/>
  <c r="G18"/>
  <c r="G17"/>
  <c r="G16"/>
  <c r="G15"/>
  <c r="G14"/>
  <c r="G13"/>
  <c r="G12"/>
  <c r="G11"/>
  <c r="G10"/>
  <c r="G9"/>
  <c r="F20"/>
  <c r="F19"/>
  <c r="F18"/>
  <c r="F17"/>
  <c r="F16"/>
  <c r="F15"/>
  <c r="F14"/>
  <c r="F13"/>
  <c r="F12"/>
  <c r="F11"/>
  <c r="F10"/>
  <c r="F9"/>
  <c r="F4"/>
  <c r="G8"/>
  <c r="F8"/>
  <c r="U50" i="2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R31"/>
  <c r="G37"/>
  <c r="Q31"/>
  <c r="G36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C31" i="8"/>
  <c r="C37"/>
  <c r="C36"/>
  <c r="C35" i="10"/>
  <c r="W28"/>
  <c r="V28"/>
  <c r="W27"/>
  <c r="V27"/>
  <c r="W26"/>
  <c r="V26"/>
  <c r="W25"/>
  <c r="V25"/>
  <c r="W24"/>
  <c r="V24"/>
  <c r="W23"/>
  <c r="V23"/>
  <c r="W22"/>
  <c r="V22"/>
  <c r="W21"/>
  <c r="V21"/>
  <c r="W20"/>
  <c r="V20"/>
  <c r="W19"/>
  <c r="V19"/>
  <c r="W18"/>
  <c r="V18"/>
  <c r="W17"/>
  <c r="V17"/>
  <c r="W16"/>
  <c r="V16"/>
  <c r="N16"/>
  <c r="L16"/>
  <c r="M16" s="1"/>
  <c r="K16"/>
  <c r="W15"/>
  <c r="V15"/>
  <c r="N15"/>
  <c r="L15"/>
  <c r="K15"/>
  <c r="O15" s="1"/>
  <c r="P15" s="1"/>
  <c r="C15"/>
  <c r="D15" s="1"/>
  <c r="W14"/>
  <c r="V14"/>
  <c r="N14"/>
  <c r="L14"/>
  <c r="K14"/>
  <c r="M14" s="1"/>
  <c r="C14"/>
  <c r="D14" s="1"/>
  <c r="W13"/>
  <c r="V13"/>
  <c r="N13"/>
  <c r="L13"/>
  <c r="K13"/>
  <c r="O13" s="1"/>
  <c r="P13" s="1"/>
  <c r="C13"/>
  <c r="D13" s="1"/>
  <c r="W12"/>
  <c r="V12"/>
  <c r="N12"/>
  <c r="L12"/>
  <c r="K12"/>
  <c r="M12" s="1"/>
  <c r="C12"/>
  <c r="D12" s="1"/>
  <c r="W11"/>
  <c r="V11"/>
  <c r="N11"/>
  <c r="L11"/>
  <c r="K11"/>
  <c r="O11" s="1"/>
  <c r="P11" s="1"/>
  <c r="C11"/>
  <c r="D11" s="1"/>
  <c r="W10"/>
  <c r="V10"/>
  <c r="N10"/>
  <c r="L10"/>
  <c r="K10"/>
  <c r="M10" s="1"/>
  <c r="C10"/>
  <c r="D10" s="1"/>
  <c r="M11"/>
  <c r="T11" s="1"/>
  <c r="M13"/>
  <c r="T13" s="1"/>
  <c r="M15"/>
  <c r="T15" s="1"/>
  <c r="Q11"/>
  <c r="Q15"/>
  <c r="R15"/>
  <c r="U15" s="1"/>
  <c r="E18"/>
  <c r="H18" s="1"/>
  <c r="G17"/>
  <c r="E17"/>
  <c r="E27"/>
  <c r="R11"/>
  <c r="U11" s="1"/>
  <c r="S13"/>
  <c r="H27"/>
  <c r="H17"/>
  <c r="O28" i="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D26" i="2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6" i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P29" i="9"/>
  <c r="J29"/>
  <c r="D29"/>
  <c r="E29"/>
  <c r="F21"/>
  <c r="F29"/>
  <c r="R29"/>
  <c r="F20"/>
  <c r="F19"/>
  <c r="K29"/>
  <c r="F18"/>
  <c r="M29"/>
  <c r="L29"/>
  <c r="G29"/>
  <c r="X29"/>
  <c r="H29"/>
  <c r="T29"/>
  <c r="AA29"/>
  <c r="U29"/>
  <c r="N29"/>
  <c r="AB29"/>
  <c r="Y29"/>
  <c r="N28" i="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K28"/>
  <c r="K27"/>
  <c r="M27"/>
  <c r="K26"/>
  <c r="K25"/>
  <c r="M25"/>
  <c r="K24"/>
  <c r="K23"/>
  <c r="M23"/>
  <c r="K22"/>
  <c r="K21"/>
  <c r="M21"/>
  <c r="K20"/>
  <c r="K19"/>
  <c r="M19"/>
  <c r="K18"/>
  <c r="K17"/>
  <c r="M17"/>
  <c r="K16"/>
  <c r="K15"/>
  <c r="M15"/>
  <c r="K14"/>
  <c r="K13"/>
  <c r="M13"/>
  <c r="K12"/>
  <c r="K11"/>
  <c r="M11"/>
  <c r="K10"/>
  <c r="C28"/>
  <c r="D28"/>
  <c r="C27"/>
  <c r="D27"/>
  <c r="E1"/>
  <c r="E2"/>
  <c r="E3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G25" i="2"/>
  <c r="G24"/>
  <c r="G23"/>
  <c r="G22"/>
  <c r="G21"/>
  <c r="G20"/>
  <c r="G19"/>
  <c r="G18"/>
  <c r="G17"/>
  <c r="G16"/>
  <c r="G15"/>
  <c r="G14"/>
  <c r="G13"/>
  <c r="F25"/>
  <c r="F24"/>
  <c r="F23"/>
  <c r="F22"/>
  <c r="F21"/>
  <c r="F20"/>
  <c r="F19"/>
  <c r="F18"/>
  <c r="F17"/>
  <c r="F16"/>
  <c r="F15"/>
  <c r="F14"/>
  <c r="F13"/>
  <c r="D27" i="1"/>
  <c r="D26"/>
  <c r="D25"/>
  <c r="D24"/>
  <c r="D23"/>
  <c r="D22"/>
  <c r="D21"/>
  <c r="D20"/>
  <c r="D19"/>
  <c r="D18"/>
  <c r="D17"/>
  <c r="D16"/>
  <c r="D15"/>
  <c r="D14"/>
  <c r="D13"/>
  <c r="C26" i="8"/>
  <c r="D26"/>
  <c r="C25"/>
  <c r="D25"/>
  <c r="C24"/>
  <c r="D24"/>
  <c r="C23"/>
  <c r="D23"/>
  <c r="C22"/>
  <c r="D22"/>
  <c r="C21"/>
  <c r="D21"/>
  <c r="C20"/>
  <c r="D20"/>
  <c r="C19"/>
  <c r="D19"/>
  <c r="C18"/>
  <c r="D18"/>
  <c r="C17"/>
  <c r="C16"/>
  <c r="D16"/>
  <c r="G8" i="2"/>
  <c r="G9"/>
  <c r="G10"/>
  <c r="G11"/>
  <c r="G12"/>
  <c r="G7"/>
  <c r="F8"/>
  <c r="F9"/>
  <c r="F10"/>
  <c r="F11"/>
  <c r="F12"/>
  <c r="F7"/>
  <c r="D7" i="1"/>
  <c r="D8"/>
  <c r="D9"/>
  <c r="D10"/>
  <c r="D11"/>
  <c r="D12"/>
  <c r="D6"/>
  <c r="C10" i="8"/>
  <c r="D10"/>
  <c r="C11"/>
  <c r="D11"/>
  <c r="C12"/>
  <c r="D12"/>
  <c r="C13"/>
  <c r="D13"/>
  <c r="C14"/>
  <c r="D14"/>
  <c r="C15"/>
  <c r="D15"/>
  <c r="P13"/>
  <c r="S13"/>
  <c r="P17"/>
  <c r="S17"/>
  <c r="P21"/>
  <c r="S21"/>
  <c r="P25"/>
  <c r="S25"/>
  <c r="P11"/>
  <c r="S11"/>
  <c r="P15"/>
  <c r="S15"/>
  <c r="P19"/>
  <c r="S19"/>
  <c r="P23"/>
  <c r="S23"/>
  <c r="P27"/>
  <c r="S27"/>
  <c r="D17"/>
  <c r="D31"/>
  <c r="M10"/>
  <c r="P10"/>
  <c r="M12"/>
  <c r="Q12"/>
  <c r="M14"/>
  <c r="M16"/>
  <c r="R16"/>
  <c r="Z16"/>
  <c r="M18"/>
  <c r="M20"/>
  <c r="R20"/>
  <c r="Z20"/>
  <c r="M22"/>
  <c r="M24"/>
  <c r="R24"/>
  <c r="Z24"/>
  <c r="M26"/>
  <c r="M28"/>
  <c r="R28"/>
  <c r="Z28"/>
  <c r="Q14"/>
  <c r="Q18"/>
  <c r="Q22"/>
  <c r="Q24"/>
  <c r="Q26"/>
  <c r="Q28"/>
  <c r="R11"/>
  <c r="Z11"/>
  <c r="R13"/>
  <c r="Z13"/>
  <c r="R15"/>
  <c r="Z15"/>
  <c r="R17"/>
  <c r="Z17"/>
  <c r="R19"/>
  <c r="Z19"/>
  <c r="R21"/>
  <c r="Z21"/>
  <c r="R25"/>
  <c r="Z25"/>
  <c r="R27"/>
  <c r="Z27"/>
  <c r="R23"/>
  <c r="Z23"/>
  <c r="R10"/>
  <c r="Z10"/>
  <c r="G28"/>
  <c r="E28"/>
  <c r="G27"/>
  <c r="E27"/>
  <c r="G26"/>
  <c r="E26"/>
  <c r="G25"/>
  <c r="W25"/>
  <c r="E25"/>
  <c r="G24"/>
  <c r="E24"/>
  <c r="G23"/>
  <c r="E23"/>
  <c r="G22"/>
  <c r="E22"/>
  <c r="G21"/>
  <c r="W21"/>
  <c r="E21"/>
  <c r="G20"/>
  <c r="E20"/>
  <c r="G19"/>
  <c r="E19"/>
  <c r="G18"/>
  <c r="E18"/>
  <c r="G17"/>
  <c r="W17"/>
  <c r="E17"/>
  <c r="G16"/>
  <c r="E16"/>
  <c r="G15"/>
  <c r="E15"/>
  <c r="G14"/>
  <c r="E14"/>
  <c r="G13"/>
  <c r="W13"/>
  <c r="E13"/>
  <c r="G12"/>
  <c r="E12"/>
  <c r="G11"/>
  <c r="E11"/>
  <c r="G10"/>
  <c r="W10"/>
  <c r="E10"/>
  <c r="Q20"/>
  <c r="Q16"/>
  <c r="W12"/>
  <c r="W16"/>
  <c r="M32"/>
  <c r="M36"/>
  <c r="W20"/>
  <c r="W24"/>
  <c r="W28"/>
  <c r="M33"/>
  <c r="M37"/>
  <c r="S24"/>
  <c r="AA24"/>
  <c r="P24"/>
  <c r="S26"/>
  <c r="P26"/>
  <c r="P22"/>
  <c r="S22"/>
  <c r="AA22"/>
  <c r="P18"/>
  <c r="S18"/>
  <c r="AA18"/>
  <c r="S14"/>
  <c r="AA14"/>
  <c r="P14"/>
  <c r="R12"/>
  <c r="Z12"/>
  <c r="Q10"/>
  <c r="S28"/>
  <c r="P28"/>
  <c r="S20"/>
  <c r="AA20"/>
  <c r="P20"/>
  <c r="S16"/>
  <c r="P16"/>
  <c r="S12"/>
  <c r="AA12"/>
  <c r="P12"/>
  <c r="S10"/>
  <c r="G31"/>
  <c r="E31"/>
  <c r="H31"/>
  <c r="AA19"/>
  <c r="AA11"/>
  <c r="R26"/>
  <c r="Z26"/>
  <c r="Z40"/>
  <c r="R22"/>
  <c r="Z22"/>
  <c r="R18"/>
  <c r="Z18"/>
  <c r="R14"/>
  <c r="Z14"/>
  <c r="W11"/>
  <c r="W14"/>
  <c r="W15"/>
  <c r="W18"/>
  <c r="W19"/>
  <c r="W22"/>
  <c r="W23"/>
  <c r="W26"/>
  <c r="W27"/>
  <c r="Q27"/>
  <c r="Q23"/>
  <c r="Q19"/>
  <c r="Q15"/>
  <c r="Q11"/>
  <c r="Q25"/>
  <c r="Q21"/>
  <c r="Q17"/>
  <c r="Q13"/>
  <c r="H10"/>
  <c r="AA10"/>
  <c r="H11"/>
  <c r="H12"/>
  <c r="H13"/>
  <c r="AA13"/>
  <c r="H14"/>
  <c r="H15"/>
  <c r="AA15"/>
  <c r="H16"/>
  <c r="AA16"/>
  <c r="H17"/>
  <c r="AA17"/>
  <c r="H18"/>
  <c r="H19"/>
  <c r="H20"/>
  <c r="H21"/>
  <c r="AA21"/>
  <c r="H22"/>
  <c r="H23"/>
  <c r="AA23"/>
  <c r="H24"/>
  <c r="H25"/>
  <c r="AA25"/>
  <c r="H26"/>
  <c r="AA26"/>
  <c r="H27"/>
  <c r="AA27"/>
  <c r="H28"/>
  <c r="AA28"/>
  <c r="Z38"/>
  <c r="M31"/>
  <c r="R31"/>
  <c r="W40"/>
  <c r="Z36"/>
  <c r="W36"/>
  <c r="W38"/>
  <c r="X28"/>
  <c r="Y28"/>
  <c r="AB28"/>
  <c r="X27"/>
  <c r="Y27"/>
  <c r="AB27"/>
  <c r="X26"/>
  <c r="Y26"/>
  <c r="AB26"/>
  <c r="X25"/>
  <c r="Y25"/>
  <c r="AB25"/>
  <c r="X24"/>
  <c r="Y24"/>
  <c r="AB24"/>
  <c r="X23"/>
  <c r="X40"/>
  <c r="Y23"/>
  <c r="X22"/>
  <c r="Y22"/>
  <c r="AB22"/>
  <c r="X21"/>
  <c r="Y21"/>
  <c r="AB21"/>
  <c r="X20"/>
  <c r="Y20"/>
  <c r="AB20"/>
  <c r="X19"/>
  <c r="Y19"/>
  <c r="AB19"/>
  <c r="X18"/>
  <c r="Y18"/>
  <c r="AB18"/>
  <c r="X17"/>
  <c r="X38"/>
  <c r="Y17"/>
  <c r="X16"/>
  <c r="Y16"/>
  <c r="AB16"/>
  <c r="X15"/>
  <c r="Y15"/>
  <c r="AB15"/>
  <c r="X14"/>
  <c r="Y14"/>
  <c r="AB14"/>
  <c r="X13"/>
  <c r="Y13"/>
  <c r="AB13"/>
  <c r="X12"/>
  <c r="Y12"/>
  <c r="AB12"/>
  <c r="X11"/>
  <c r="Y11"/>
  <c r="AB11"/>
  <c r="X10"/>
  <c r="Y10"/>
  <c r="AB10"/>
  <c r="AA38"/>
  <c r="AA40"/>
  <c r="AA36"/>
  <c r="W31"/>
  <c r="Z31"/>
  <c r="Q31"/>
  <c r="Y31"/>
  <c r="AB31"/>
  <c r="X36"/>
  <c r="AB17"/>
  <c r="Y38"/>
  <c r="Y40"/>
  <c r="AB23"/>
  <c r="AB40"/>
  <c r="AB38"/>
  <c r="Q10" i="10" l="1"/>
  <c r="R10"/>
  <c r="U10" s="1"/>
  <c r="T10"/>
  <c r="S10"/>
  <c r="T12"/>
  <c r="R12"/>
  <c r="U12" s="1"/>
  <c r="Q12"/>
  <c r="S12"/>
  <c r="AB12" s="1"/>
  <c r="Q14"/>
  <c r="R14"/>
  <c r="U14" s="1"/>
  <c r="T14"/>
  <c r="S14"/>
  <c r="AB14" s="1"/>
  <c r="T16"/>
  <c r="R16"/>
  <c r="U16" s="1"/>
  <c r="Q16"/>
  <c r="S16"/>
  <c r="AB16" s="1"/>
  <c r="E12" i="3"/>
  <c r="E20" i="10"/>
  <c r="H20" s="1"/>
  <c r="G20"/>
  <c r="O30"/>
  <c r="P30" s="1"/>
  <c r="P23"/>
  <c r="O29"/>
  <c r="P29" s="1"/>
  <c r="P17"/>
  <c r="E20" i="3"/>
  <c r="E28" i="10"/>
  <c r="H28" s="1"/>
  <c r="G28"/>
  <c r="C32"/>
  <c r="D32" s="1"/>
  <c r="D34"/>
  <c r="N29"/>
  <c r="N30" s="1"/>
  <c r="O10"/>
  <c r="P10" s="1"/>
  <c r="O12"/>
  <c r="P12" s="1"/>
  <c r="O14"/>
  <c r="P14" s="1"/>
  <c r="O16"/>
  <c r="P16" s="1"/>
  <c r="S15"/>
  <c r="S11"/>
  <c r="G27"/>
  <c r="Y27" s="1"/>
  <c r="G18"/>
  <c r="R13"/>
  <c r="U13" s="1"/>
  <c r="Q13"/>
  <c r="C39"/>
  <c r="M28"/>
  <c r="G15"/>
  <c r="Y15" s="1"/>
  <c r="E15"/>
  <c r="H15" s="1"/>
  <c r="AB15"/>
  <c r="E16" i="3"/>
  <c r="G24" i="10"/>
  <c r="E24"/>
  <c r="H24" s="1"/>
  <c r="S28"/>
  <c r="T28"/>
  <c r="AC28" s="1"/>
  <c r="R28"/>
  <c r="Q28"/>
  <c r="Z28" s="1"/>
  <c r="Y28"/>
  <c r="M26"/>
  <c r="M24"/>
  <c r="Q24" s="1"/>
  <c r="Z24" s="1"/>
  <c r="M22"/>
  <c r="C40"/>
  <c r="M27"/>
  <c r="M25"/>
  <c r="T25" s="1"/>
  <c r="M23"/>
  <c r="G16"/>
  <c r="E16"/>
  <c r="E14" i="3"/>
  <c r="G22" i="10"/>
  <c r="Y22" s="1"/>
  <c r="E22"/>
  <c r="T26"/>
  <c r="R26"/>
  <c r="U26" s="1"/>
  <c r="S26"/>
  <c r="D18" i="3" s="1"/>
  <c r="Q26" i="10"/>
  <c r="T24"/>
  <c r="AC24" s="1"/>
  <c r="T22"/>
  <c r="R22"/>
  <c r="U22" s="1"/>
  <c r="S22"/>
  <c r="D14" i="3" s="1"/>
  <c r="Q22" i="10"/>
  <c r="G11"/>
  <c r="Y11" s="1"/>
  <c r="E11"/>
  <c r="H11" s="1"/>
  <c r="AB11"/>
  <c r="G13"/>
  <c r="Y13" s="1"/>
  <c r="E13"/>
  <c r="AB13"/>
  <c r="E18" i="3"/>
  <c r="G26" i="10"/>
  <c r="Y26" s="1"/>
  <c r="E26"/>
  <c r="AB26"/>
  <c r="T27"/>
  <c r="AC27" s="1"/>
  <c r="Q27"/>
  <c r="Z27" s="1"/>
  <c r="R27"/>
  <c r="S27"/>
  <c r="S25"/>
  <c r="D17" i="3" s="1"/>
  <c r="M32" i="10"/>
  <c r="S32" s="1"/>
  <c r="T32" s="1"/>
  <c r="T23"/>
  <c r="Q23"/>
  <c r="S23"/>
  <c r="M39"/>
  <c r="R23"/>
  <c r="U23" s="1"/>
  <c r="D29"/>
  <c r="Y24"/>
  <c r="M21"/>
  <c r="S21" s="1"/>
  <c r="D13" i="3" s="1"/>
  <c r="M19" i="10"/>
  <c r="M36" s="1"/>
  <c r="M17"/>
  <c r="T17" s="1"/>
  <c r="AC17" s="1"/>
  <c r="Y17"/>
  <c r="AC15"/>
  <c r="M20"/>
  <c r="Y20" s="1"/>
  <c r="M18"/>
  <c r="Y18" s="1"/>
  <c r="AB10"/>
  <c r="G10"/>
  <c r="Y10" s="1"/>
  <c r="E10"/>
  <c r="G14"/>
  <c r="Y14" s="1"/>
  <c r="E14"/>
  <c r="E17" i="3"/>
  <c r="G25" i="10"/>
  <c r="E25"/>
  <c r="E13" i="3"/>
  <c r="G21" i="10"/>
  <c r="E21"/>
  <c r="R20"/>
  <c r="T18"/>
  <c r="AC18" s="1"/>
  <c r="S18"/>
  <c r="Q18"/>
  <c r="Z18" s="1"/>
  <c r="R18"/>
  <c r="E32"/>
  <c r="G12"/>
  <c r="Y12" s="1"/>
  <c r="E12"/>
  <c r="E15" i="3"/>
  <c r="G23" i="10"/>
  <c r="Y23" s="1"/>
  <c r="AB23"/>
  <c r="E23"/>
  <c r="E11" i="3"/>
  <c r="G19" i="10"/>
  <c r="E19"/>
  <c r="T21"/>
  <c r="Q21"/>
  <c r="Q19"/>
  <c r="S19"/>
  <c r="D11" i="3" s="1"/>
  <c r="M35" i="10"/>
  <c r="R17"/>
  <c r="U17" s="1"/>
  <c r="E34" l="1"/>
  <c r="H34" s="1"/>
  <c r="G34"/>
  <c r="M34"/>
  <c r="M40"/>
  <c r="T19"/>
  <c r="R19"/>
  <c r="U19" s="1"/>
  <c r="Y19"/>
  <c r="AB32"/>
  <c r="T20"/>
  <c r="AC20" s="1"/>
  <c r="E42"/>
  <c r="Q25"/>
  <c r="R24"/>
  <c r="AA18"/>
  <c r="AD18" s="1"/>
  <c r="U18"/>
  <c r="U30" s="1"/>
  <c r="AA20"/>
  <c r="AD20" s="1"/>
  <c r="U20"/>
  <c r="AA24"/>
  <c r="AD24" s="1"/>
  <c r="U24"/>
  <c r="U28"/>
  <c r="AA28"/>
  <c r="AD28" s="1"/>
  <c r="D20" i="3"/>
  <c r="AB28" i="10"/>
  <c r="AA27"/>
  <c r="AD27" s="1"/>
  <c r="U27"/>
  <c r="AA15"/>
  <c r="AD15" s="1"/>
  <c r="Z15"/>
  <c r="Q17"/>
  <c r="Z17" s="1"/>
  <c r="S17"/>
  <c r="R21"/>
  <c r="U21" s="1"/>
  <c r="AD32"/>
  <c r="S20"/>
  <c r="D12" i="3" s="1"/>
  <c r="Q20" i="10"/>
  <c r="Z20" s="1"/>
  <c r="Y21"/>
  <c r="AB25"/>
  <c r="Y25"/>
  <c r="Y43" s="1"/>
  <c r="AC11"/>
  <c r="T29"/>
  <c r="R25"/>
  <c r="U25" s="1"/>
  <c r="S24"/>
  <c r="S29" s="1"/>
  <c r="AB29" s="1"/>
  <c r="D15" i="3"/>
  <c r="AC26" i="10"/>
  <c r="H26"/>
  <c r="AC13"/>
  <c r="H13"/>
  <c r="O14" i="3"/>
  <c r="N14"/>
  <c r="AB24" i="10"/>
  <c r="O18" i="3"/>
  <c r="N18"/>
  <c r="H22" i="10"/>
  <c r="AC22"/>
  <c r="E8" i="3"/>
  <c r="Y16" i="10"/>
  <c r="E29"/>
  <c r="AC29" s="1"/>
  <c r="O17" i="3"/>
  <c r="N17"/>
  <c r="D19"/>
  <c r="AB27" i="10"/>
  <c r="AB43" s="1"/>
  <c r="AA11"/>
  <c r="AD11" s="1"/>
  <c r="Z11"/>
  <c r="H16"/>
  <c r="AC16"/>
  <c r="AB22"/>
  <c r="R42"/>
  <c r="AA17"/>
  <c r="S34"/>
  <c r="R34"/>
  <c r="Y34"/>
  <c r="H12"/>
  <c r="AC12"/>
  <c r="AB20"/>
  <c r="H21"/>
  <c r="AC21"/>
  <c r="H25"/>
  <c r="AC25"/>
  <c r="H14"/>
  <c r="AC14"/>
  <c r="H10"/>
  <c r="AC10"/>
  <c r="AB19"/>
  <c r="AA34"/>
  <c r="D9" i="3"/>
  <c r="AB17" i="10"/>
  <c r="O11" i="3"/>
  <c r="N11"/>
  <c r="O13"/>
  <c r="N13"/>
  <c r="H19" i="10"/>
  <c r="AC19"/>
  <c r="AC41" s="1"/>
  <c r="H23"/>
  <c r="AC23"/>
  <c r="D10" i="3"/>
  <c r="AB18" i="10"/>
  <c r="Y39"/>
  <c r="AB21"/>
  <c r="Y41" l="1"/>
  <c r="D16" i="3"/>
  <c r="N16" s="1"/>
  <c r="U29" i="10"/>
  <c r="S30"/>
  <c r="O20" i="3"/>
  <c r="N20"/>
  <c r="AC43" i="10"/>
  <c r="AA22"/>
  <c r="AD22" s="1"/>
  <c r="Z22"/>
  <c r="O16" i="3"/>
  <c r="AA16" i="10"/>
  <c r="AD16" s="1"/>
  <c r="Z16"/>
  <c r="N19" i="3"/>
  <c r="O19"/>
  <c r="Z13" i="10"/>
  <c r="AA13"/>
  <c r="AD13" s="1"/>
  <c r="AA26"/>
  <c r="AD26" s="1"/>
  <c r="Z26"/>
  <c r="O15" i="3"/>
  <c r="N15"/>
  <c r="AB39" i="10"/>
  <c r="O10" i="3"/>
  <c r="N10"/>
  <c r="AA23" i="10"/>
  <c r="AA41" s="1"/>
  <c r="Z23"/>
  <c r="Z19"/>
  <c r="AA19"/>
  <c r="AD19" s="1"/>
  <c r="O9" i="3"/>
  <c r="N22"/>
  <c r="N9"/>
  <c r="T34" i="10"/>
  <c r="AD34" s="1"/>
  <c r="AB34"/>
  <c r="AC39"/>
  <c r="Z10"/>
  <c r="AA10"/>
  <c r="AD10" s="1"/>
  <c r="Z14"/>
  <c r="AA14"/>
  <c r="AD14" s="1"/>
  <c r="Z25"/>
  <c r="AA25"/>
  <c r="AD25" s="1"/>
  <c r="Z21"/>
  <c r="AA21"/>
  <c r="AD21" s="1"/>
  <c r="O12" i="3"/>
  <c r="N12"/>
  <c r="AA12" i="10"/>
  <c r="AD12" s="1"/>
  <c r="Z12"/>
  <c r="AD17"/>
  <c r="AB41"/>
  <c r="Z39" l="1"/>
  <c r="Z43"/>
  <c r="AD23"/>
  <c r="AD43" s="1"/>
  <c r="AA43"/>
  <c r="AD41"/>
  <c r="N21" i="3"/>
  <c r="N24" s="1"/>
  <c r="O21"/>
  <c r="Z41" i="10"/>
</calcChain>
</file>

<file path=xl/comments1.xml><?xml version="1.0" encoding="utf-8"?>
<comments xmlns="http://schemas.openxmlformats.org/spreadsheetml/2006/main">
  <authors>
    <author>Cathy</author>
  </authors>
  <commentList>
    <comment ref="C32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Only non-heating use of gas is for clothesdryer.   I averaged out the 4 lowest months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Only non-heating use of gas is for clothesdryer.   I averaged out the 4 lowest months</t>
        </r>
      </text>
    </comment>
  </commentList>
</comments>
</file>

<file path=xl/comments2.xml><?xml version="1.0" encoding="utf-8"?>
<comments xmlns="http://schemas.openxmlformats.org/spreadsheetml/2006/main">
  <authors>
    <author>Cathy</author>
  </authors>
  <commentList>
    <comment ref="C31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Only non-heating use of gas is for clothesdryer.   I averaged out the 4 lowest months</t>
        </r>
      </text>
    </comment>
  </commentList>
</comments>
</file>

<file path=xl/comments3.xml><?xml version="1.0" encoding="utf-8"?>
<comments xmlns="http://schemas.openxmlformats.org/spreadsheetml/2006/main">
  <authors>
    <author>Rosi</author>
  </authors>
  <commentList>
    <comment ref="M7" authorId="0">
      <text>
        <r>
          <rPr>
            <b/>
            <sz val="9"/>
            <color indexed="81"/>
            <rFont val="Tahoma"/>
            <family val="2"/>
          </rPr>
          <t>Rosi:</t>
        </r>
        <r>
          <rPr>
            <sz val="9"/>
            <color indexed="81"/>
            <rFont val="Tahoma"/>
            <family val="2"/>
          </rPr>
          <t xml:space="preserve">
Use "actual" best fit equation but put in TMY3 CDD for the value of X to get new energy use by month
</t>
        </r>
      </text>
    </comment>
  </commentList>
</comments>
</file>

<file path=xl/sharedStrings.xml><?xml version="1.0" encoding="utf-8"?>
<sst xmlns="http://schemas.openxmlformats.org/spreadsheetml/2006/main" count="221" uniqueCount="109">
  <si>
    <t>Belmont Two Family</t>
  </si>
  <si>
    <t>Brownsberger</t>
  </si>
  <si>
    <t>https://spreadsheets.google.com/pub?key=0Au4p6kIaKukUdGwxT0t4NUd2NHFjQ0NfT1lCZS1KUXc&amp;hl=en&amp;single=true&amp;gid=2&amp;output=html</t>
  </si>
  <si>
    <t>therms</t>
  </si>
  <si>
    <t>HDD</t>
  </si>
  <si>
    <t>Electricity used</t>
  </si>
  <si>
    <t>118 and 120 are the two apartments at the Brownsberger home</t>
  </si>
  <si>
    <t>(negative)</t>
  </si>
  <si>
    <t>Electric Consumption (kWh)</t>
  </si>
  <si>
    <t>PV Production (kWh)</t>
  </si>
  <si>
    <t>CDD</t>
  </si>
  <si>
    <t>Description:</t>
  </si>
  <si>
    <t>Fahrenheit-based heating degree days for a base temperature of 65F</t>
  </si>
  <si>
    <t>Source:</t>
  </si>
  <si>
    <t>www.degreedays.net (using temperature data from www.wunderground.com)</t>
  </si>
  <si>
    <t>Accuracy:</t>
  </si>
  <si>
    <t>Estimates were made to account for missing data: the "% Estimated" column shows how much each figure was affected (0% is best, 100% is worst)</t>
  </si>
  <si>
    <t>Station:</t>
  </si>
  <si>
    <t>BEDFORD HANSCOM FIELD, MA, US (71.29W,42.47N)</t>
  </si>
  <si>
    <t>Station ID:</t>
  </si>
  <si>
    <t>KBED</t>
  </si>
  <si>
    <t>Month starting</t>
  </si>
  <si>
    <t>% Estimated</t>
  </si>
  <si>
    <t>Fahrenheit-based cooling degree days for a base temperature of 65F</t>
  </si>
  <si>
    <t>site kwh</t>
  </si>
  <si>
    <t>site Mbtu</t>
  </si>
  <si>
    <t>source Mbtu</t>
  </si>
  <si>
    <t>source kwh</t>
  </si>
  <si>
    <t>kwh to Mbtu</t>
  </si>
  <si>
    <t>therm to MBTU</t>
  </si>
  <si>
    <t>natural gas source/site</t>
  </si>
  <si>
    <t>grid electricity source/site</t>
  </si>
  <si>
    <t>Mbtu to kwh</t>
  </si>
  <si>
    <t>site KWH</t>
  </si>
  <si>
    <t>source KWH</t>
  </si>
  <si>
    <t>Total kwh</t>
  </si>
  <si>
    <t>site</t>
  </si>
  <si>
    <t>source</t>
  </si>
  <si>
    <t>Total Mbtu</t>
  </si>
  <si>
    <t>Bedford</t>
  </si>
  <si>
    <t>Electricity used (kwh)</t>
  </si>
  <si>
    <t>Month Starting</t>
  </si>
  <si>
    <t>Pre retrofit is from BEopt.  For NREL 2012, use BEopt 1.3; model is at 04-Energy Analysis_new DER project/BEopt modeling/1_3 Brownsberger.bpj In Individual projects section of National Grid DER</t>
  </si>
  <si>
    <t>Data from BEOpt</t>
  </si>
  <si>
    <t>Electricity</t>
  </si>
  <si>
    <t>kwh</t>
  </si>
  <si>
    <t>Natural Gas</t>
  </si>
  <si>
    <t>Oil</t>
  </si>
  <si>
    <t>gallons</t>
  </si>
  <si>
    <t xml:space="preserve">Period </t>
  </si>
  <si>
    <t>BEopt Model</t>
  </si>
  <si>
    <t>gal oil to Mbtu</t>
  </si>
  <si>
    <t>heating oil source/site</t>
  </si>
  <si>
    <t>Heating Oil</t>
  </si>
  <si>
    <t>Gallons</t>
  </si>
  <si>
    <t>Natural gas</t>
  </si>
  <si>
    <t>Source Mbtu</t>
  </si>
  <si>
    <t>Totals 18 months</t>
  </si>
  <si>
    <t>Totals 12 months</t>
  </si>
  <si>
    <t>Totals 6 months</t>
  </si>
  <si>
    <t>source Mbu</t>
  </si>
  <si>
    <t>Gas usage from National Grid spreadsheet</t>
  </si>
  <si>
    <t>Grid and PV electricity use from spreadsheet</t>
  </si>
  <si>
    <t>Grid</t>
  </si>
  <si>
    <t>src if no PV</t>
  </si>
  <si>
    <t>Solar Thermal</t>
  </si>
  <si>
    <t>MIN USAGE (for 12 mos of data, use 2 lowest months)</t>
  </si>
  <si>
    <t>Electricity used for DHW</t>
  </si>
  <si>
    <t>c.f. hot water</t>
  </si>
  <si>
    <t>cu used</t>
  </si>
  <si>
    <t>total cu hot used</t>
  </si>
  <si>
    <t>1 Btu/lb/deg F</t>
  </si>
  <si>
    <t>delta T F.</t>
  </si>
  <si>
    <t>lbs/gal</t>
  </si>
  <si>
    <t>gal/cu ft</t>
  </si>
  <si>
    <t>Water properties</t>
  </si>
  <si>
    <t>kwh used</t>
  </si>
  <si>
    <t>MMBtu used</t>
  </si>
  <si>
    <t>kwh to MMBtu</t>
  </si>
  <si>
    <t>MMBtu to kwh</t>
  </si>
  <si>
    <t>kwh for hot water</t>
  </si>
  <si>
    <t xml:space="preserve">Monitored </t>
  </si>
  <si>
    <t>from spreadsheet</t>
  </si>
  <si>
    <t>Estimated</t>
  </si>
  <si>
    <t xml:space="preserve">solar thermal </t>
  </si>
  <si>
    <t>contribution</t>
  </si>
  <si>
    <t>Date</t>
  </si>
  <si>
    <t>Actual CDD</t>
  </si>
  <si>
    <t>Actual HDD</t>
  </si>
  <si>
    <t>Linear Regression on Post Retrofit data</t>
  </si>
  <si>
    <t xml:space="preserve">Month </t>
  </si>
  <si>
    <t>BEopt 1.3 CDD</t>
  </si>
  <si>
    <t>BEopt 1.3 HDD</t>
  </si>
  <si>
    <t>Predicted (BEopt 1.3) BOSTON</t>
  </si>
  <si>
    <t>Total</t>
  </si>
  <si>
    <t>Actual Site Energy</t>
  </si>
  <si>
    <t>MMBtu</t>
  </si>
  <si>
    <t>Normalized</t>
  </si>
  <si>
    <t>Nat Gas</t>
  </si>
  <si>
    <t>Site</t>
  </si>
  <si>
    <t xml:space="preserve">Normalized </t>
  </si>
  <si>
    <t>Src</t>
  </si>
  <si>
    <t>MIN USAGE 6 mos</t>
  </si>
  <si>
    <t>12 mos usage</t>
  </si>
  <si>
    <t>6 mos</t>
  </si>
  <si>
    <t>src no PV</t>
  </si>
  <si>
    <t>site kWH excluding gen+used</t>
  </si>
  <si>
    <t>source kWH excluding gen+used</t>
  </si>
  <si>
    <t>12 mos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</si>
</sst>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&quot;$&quot;#,##0.00"/>
    <numFmt numFmtId="165" formatCode="&quot;$&quot;#,##0.0000"/>
    <numFmt numFmtId="166" formatCode="&quot;$&quot;#,##0.00000"/>
    <numFmt numFmtId="167" formatCode="_(* #,##0_);_(* \(#,##0\);_(* &quot;-&quot;??_);_(@_)"/>
    <numFmt numFmtId="168" formatCode="[$-409]mmm\-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indexed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</cellStyleXfs>
  <cellXfs count="133">
    <xf numFmtId="0" fontId="0" fillId="0" borderId="0" xfId="0"/>
    <xf numFmtId="17" fontId="0" fillId="0" borderId="0" xfId="0" applyNumberFormat="1"/>
    <xf numFmtId="0" fontId="18" fillId="0" borderId="10" xfId="42" applyNumberFormat="1" applyFont="1" applyFill="1" applyBorder="1" applyAlignment="1">
      <alignment wrapText="1"/>
    </xf>
    <xf numFmtId="0" fontId="0" fillId="0" borderId="0" xfId="0" applyFill="1"/>
    <xf numFmtId="0" fontId="18" fillId="33" borderId="10" xfId="42" applyNumberFormat="1" applyFont="1" applyFill="1" applyBorder="1" applyAlignment="1">
      <alignment wrapText="1"/>
    </xf>
    <xf numFmtId="0" fontId="18" fillId="33" borderId="10" xfId="42" applyNumberFormat="1" applyFont="1" applyFill="1" applyBorder="1" applyAlignment="1">
      <alignment wrapText="1"/>
    </xf>
    <xf numFmtId="0" fontId="18" fillId="0" borderId="10" xfId="42" applyNumberFormat="1" applyFont="1" applyFill="1" applyBorder="1" applyAlignment="1">
      <alignment wrapText="1"/>
    </xf>
    <xf numFmtId="0" fontId="18" fillId="33" borderId="10" xfId="42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9" fillId="0" borderId="0" xfId="43" applyAlignment="1" applyProtection="1"/>
    <xf numFmtId="0" fontId="0" fillId="0" borderId="10" xfId="0" applyBorder="1"/>
    <xf numFmtId="0" fontId="18" fillId="34" borderId="10" xfId="42" applyNumberFormat="1" applyFont="1" applyFill="1" applyBorder="1" applyAlignment="1">
      <alignment wrapText="1"/>
    </xf>
    <xf numFmtId="0" fontId="0" fillId="34" borderId="10" xfId="0" applyFill="1" applyBorder="1"/>
    <xf numFmtId="0" fontId="18" fillId="34" borderId="11" xfId="42" applyNumberFormat="1" applyFont="1" applyFill="1" applyBorder="1" applyAlignment="1">
      <alignment wrapText="1"/>
    </xf>
    <xf numFmtId="4" fontId="0" fillId="0" borderId="0" xfId="0" applyNumberFormat="1"/>
    <xf numFmtId="2" fontId="18" fillId="0" borderId="10" xfId="42" applyNumberFormat="1" applyFont="1" applyFill="1" applyBorder="1" applyAlignment="1">
      <alignment wrapText="1"/>
    </xf>
    <xf numFmtId="2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3" xfId="0" applyFill="1" applyBorder="1"/>
    <xf numFmtId="0" fontId="18" fillId="0" borderId="0" xfId="42" applyNumberFormat="1" applyFont="1" applyFill="1" applyBorder="1" applyAlignment="1">
      <alignment wrapText="1"/>
    </xf>
    <xf numFmtId="17" fontId="0" fillId="0" borderId="0" xfId="0" applyNumberFormat="1" applyFill="1" applyBorder="1"/>
    <xf numFmtId="17" fontId="0" fillId="0" borderId="0" xfId="0" applyNumberFormat="1" applyBorder="1"/>
    <xf numFmtId="2" fontId="0" fillId="0" borderId="0" xfId="0" applyNumberFormat="1" applyBorder="1"/>
    <xf numFmtId="0" fontId="0" fillId="0" borderId="18" xfId="0" applyFill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14" fontId="20" fillId="0" borderId="20" xfId="0" applyNumberFormat="1" applyFont="1" applyBorder="1" applyAlignment="1">
      <alignment horizontal="left" wrapText="1"/>
    </xf>
    <xf numFmtId="0" fontId="20" fillId="0" borderId="20" xfId="0" applyFont="1" applyBorder="1" applyAlignment="1">
      <alignment horizontal="left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2" fontId="0" fillId="0" borderId="22" xfId="0" applyNumberFormat="1" applyBorder="1"/>
    <xf numFmtId="2" fontId="0" fillId="0" borderId="23" xfId="0" applyNumberFormat="1" applyBorder="1"/>
    <xf numFmtId="0" fontId="0" fillId="0" borderId="21" xfId="0" applyFill="1" applyBorder="1"/>
    <xf numFmtId="2" fontId="18" fillId="0" borderId="21" xfId="42" applyNumberFormat="1" applyFont="1" applyFill="1" applyBorder="1" applyAlignment="1"/>
    <xf numFmtId="0" fontId="18" fillId="0" borderId="23" xfId="42" applyNumberFormat="1" applyFont="1" applyFill="1" applyBorder="1" applyAlignment="1">
      <alignment wrapText="1"/>
    </xf>
    <xf numFmtId="2" fontId="0" fillId="0" borderId="24" xfId="0" applyNumberFormat="1" applyBorder="1"/>
    <xf numFmtId="0" fontId="0" fillId="0" borderId="24" xfId="0" applyBorder="1"/>
    <xf numFmtId="17" fontId="0" fillId="0" borderId="24" xfId="0" applyNumberFormat="1" applyBorder="1"/>
    <xf numFmtId="0" fontId="18" fillId="0" borderId="24" xfId="42" applyNumberFormat="1" applyFont="1" applyFill="1" applyBorder="1" applyAlignment="1">
      <alignment wrapText="1"/>
    </xf>
    <xf numFmtId="2" fontId="18" fillId="0" borderId="24" xfId="42" applyNumberFormat="1" applyFont="1" applyFill="1" applyBorder="1" applyAlignment="1">
      <alignment wrapText="1"/>
    </xf>
    <xf numFmtId="2" fontId="0" fillId="0" borderId="25" xfId="0" applyNumberFormat="1" applyBorder="1"/>
    <xf numFmtId="1" fontId="0" fillId="0" borderId="0" xfId="0" applyNumberFormat="1"/>
    <xf numFmtId="0" fontId="23" fillId="0" borderId="0" xfId="42" applyFont="1" applyAlignment="1"/>
    <xf numFmtId="14" fontId="24" fillId="0" borderId="0" xfId="42" applyNumberFormat="1" applyFont="1" applyAlignment="1"/>
    <xf numFmtId="1" fontId="18" fillId="0" borderId="0" xfId="42" applyNumberFormat="1" applyAlignment="1"/>
    <xf numFmtId="164" fontId="18" fillId="0" borderId="0" xfId="42" applyNumberFormat="1" applyAlignment="1"/>
    <xf numFmtId="3" fontId="18" fillId="0" borderId="0" xfId="42" applyNumberFormat="1" applyAlignment="1"/>
    <xf numFmtId="0" fontId="18" fillId="0" borderId="0" xfId="42" applyAlignment="1">
      <alignment horizontal="left" indent="1"/>
    </xf>
    <xf numFmtId="165" fontId="18" fillId="0" borderId="0" xfId="42" applyNumberFormat="1" applyFill="1" applyAlignment="1">
      <alignment horizontal="right"/>
    </xf>
    <xf numFmtId="166" fontId="18" fillId="0" borderId="0" xfId="42" applyNumberFormat="1" applyFill="1" applyAlignment="1">
      <alignment horizontal="right"/>
    </xf>
    <xf numFmtId="0" fontId="18" fillId="0" borderId="0" xfId="42" applyAlignment="1"/>
    <xf numFmtId="14" fontId="25" fillId="0" borderId="0" xfId="42" applyNumberFormat="1" applyFont="1" applyAlignment="1"/>
    <xf numFmtId="0" fontId="26" fillId="0" borderId="0" xfId="43" applyFont="1" applyAlignment="1" applyProtection="1"/>
    <xf numFmtId="14" fontId="18" fillId="0" borderId="0" xfId="42" applyNumberFormat="1" applyAlignment="1"/>
    <xf numFmtId="1" fontId="18" fillId="0" borderId="0" xfId="42" applyNumberFormat="1" applyFont="1" applyAlignment="1">
      <alignment horizontal="center"/>
    </xf>
    <xf numFmtId="164" fontId="18" fillId="0" borderId="0" xfId="42" applyNumberFormat="1" applyFont="1" applyAlignment="1"/>
    <xf numFmtId="0" fontId="25" fillId="0" borderId="18" xfId="42" applyFont="1" applyBorder="1" applyAlignment="1">
      <alignment wrapText="1"/>
    </xf>
    <xf numFmtId="14" fontId="25" fillId="0" borderId="18" xfId="42" applyNumberFormat="1" applyFont="1" applyBorder="1" applyAlignment="1">
      <alignment horizontal="left" wrapText="1"/>
    </xf>
    <xf numFmtId="1" fontId="25" fillId="0" borderId="18" xfId="42" applyNumberFormat="1" applyFont="1" applyBorder="1" applyAlignment="1">
      <alignment horizontal="left" wrapText="1"/>
    </xf>
    <xf numFmtId="3" fontId="25" fillId="0" borderId="18" xfId="42" applyNumberFormat="1" applyFont="1" applyBorder="1" applyAlignment="1">
      <alignment horizontal="left" wrapText="1"/>
    </xf>
    <xf numFmtId="0" fontId="25" fillId="0" borderId="18" xfId="42" applyFont="1" applyBorder="1" applyAlignment="1">
      <alignment horizontal="left" wrapText="1"/>
    </xf>
    <xf numFmtId="165" fontId="25" fillId="0" borderId="18" xfId="42" applyNumberFormat="1" applyFont="1" applyFill="1" applyBorder="1" applyAlignment="1">
      <alignment horizontal="left" wrapText="1"/>
    </xf>
    <xf numFmtId="166" fontId="25" fillId="0" borderId="18" xfId="42" applyNumberFormat="1" applyFont="1" applyFill="1" applyBorder="1" applyAlignment="1">
      <alignment horizontal="center" wrapText="1"/>
    </xf>
    <xf numFmtId="166" fontId="25" fillId="0" borderId="18" xfId="42" applyNumberFormat="1" applyFont="1" applyFill="1" applyBorder="1" applyAlignment="1">
      <alignment horizontal="right" wrapText="1"/>
    </xf>
    <xf numFmtId="167" fontId="18" fillId="0" borderId="0" xfId="44" applyNumberFormat="1"/>
    <xf numFmtId="17" fontId="18" fillId="0" borderId="0" xfId="42" applyNumberFormat="1" applyAlignment="1"/>
    <xf numFmtId="0" fontId="18" fillId="0" borderId="0" xfId="42" applyNumberFormat="1" applyAlignment="1"/>
    <xf numFmtId="0" fontId="18" fillId="0" borderId="0" xfId="42" applyNumberFormat="1" applyFill="1" applyAlignment="1"/>
    <xf numFmtId="0" fontId="27" fillId="0" borderId="0" xfId="0" applyFont="1"/>
    <xf numFmtId="0" fontId="27" fillId="0" borderId="0" xfId="0" applyFont="1" applyBorder="1"/>
    <xf numFmtId="17" fontId="18" fillId="0" borderId="18" xfId="42" applyNumberFormat="1" applyBorder="1" applyAlignment="1"/>
    <xf numFmtId="14" fontId="18" fillId="0" borderId="18" xfId="42" applyNumberFormat="1" applyBorder="1" applyAlignment="1"/>
    <xf numFmtId="1" fontId="18" fillId="0" borderId="18" xfId="42" applyNumberFormat="1" applyBorder="1" applyAlignment="1"/>
    <xf numFmtId="0" fontId="18" fillId="0" borderId="18" xfId="42" applyNumberFormat="1" applyBorder="1" applyAlignment="1"/>
    <xf numFmtId="164" fontId="18" fillId="0" borderId="18" xfId="42" applyNumberFormat="1" applyBorder="1" applyAlignment="1"/>
    <xf numFmtId="0" fontId="27" fillId="0" borderId="18" xfId="0" applyFont="1" applyBorder="1"/>
    <xf numFmtId="14" fontId="18" fillId="0" borderId="0" xfId="42" applyNumberFormat="1" applyBorder="1" applyAlignment="1"/>
    <xf numFmtId="0" fontId="18" fillId="0" borderId="0" xfId="42" applyNumberFormat="1" applyBorder="1" applyAlignment="1"/>
    <xf numFmtId="164" fontId="18" fillId="0" borderId="0" xfId="42" applyNumberFormat="1" applyBorder="1" applyAlignment="1"/>
    <xf numFmtId="168" fontId="18" fillId="0" borderId="0" xfId="42" applyNumberFormat="1" applyAlignment="1"/>
    <xf numFmtId="1" fontId="28" fillId="0" borderId="0" xfId="0" applyNumberFormat="1" applyFont="1"/>
    <xf numFmtId="168" fontId="27" fillId="0" borderId="0" xfId="0" applyNumberFormat="1" applyFont="1"/>
    <xf numFmtId="9" fontId="27" fillId="0" borderId="0" xfId="0" applyNumberFormat="1" applyFont="1"/>
    <xf numFmtId="166" fontId="18" fillId="0" borderId="0" xfId="42" applyNumberFormat="1" applyFill="1" applyBorder="1" applyAlignment="1">
      <alignment horizontal="right"/>
    </xf>
    <xf numFmtId="166" fontId="18" fillId="0" borderId="0" xfId="42" applyNumberFormat="1" applyFill="1" applyAlignment="1">
      <alignment horizontal="left"/>
    </xf>
    <xf numFmtId="4" fontId="18" fillId="0" borderId="18" xfId="42" applyNumberFormat="1" applyBorder="1" applyAlignment="1"/>
    <xf numFmtId="14" fontId="18" fillId="0" borderId="0" xfId="42" applyNumberFormat="1" applyFill="1" applyBorder="1" applyAlignment="1"/>
    <xf numFmtId="1" fontId="0" fillId="0" borderId="0" xfId="0" applyNumberFormat="1" applyFill="1" applyBorder="1"/>
    <xf numFmtId="2" fontId="18" fillId="0" borderId="18" xfId="42" applyNumberFormat="1" applyBorder="1" applyAlignment="1"/>
    <xf numFmtId="2" fontId="28" fillId="35" borderId="0" xfId="0" applyNumberFormat="1" applyFont="1" applyFill="1" applyBorder="1"/>
    <xf numFmtId="4" fontId="18" fillId="0" borderId="0" xfId="42" applyNumberFormat="1" applyFill="1" applyAlignment="1">
      <alignment horizontal="right"/>
    </xf>
    <xf numFmtId="2" fontId="28" fillId="35" borderId="18" xfId="0" applyNumberFormat="1" applyFont="1" applyFill="1" applyBorder="1"/>
    <xf numFmtId="4" fontId="18" fillId="0" borderId="18" xfId="42" applyNumberFormat="1" applyFill="1" applyBorder="1" applyAlignment="1">
      <alignment horizontal="right"/>
    </xf>
    <xf numFmtId="2" fontId="18" fillId="0" borderId="0" xfId="42" applyNumberFormat="1" applyBorder="1" applyAlignment="1"/>
    <xf numFmtId="2" fontId="18" fillId="0" borderId="0" xfId="42" applyNumberFormat="1" applyFill="1" applyBorder="1" applyAlignment="1"/>
    <xf numFmtId="2" fontId="18" fillId="0" borderId="22" xfId="42" applyNumberFormat="1" applyFont="1" applyFill="1" applyBorder="1" applyAlignment="1"/>
    <xf numFmtId="0" fontId="0" fillId="0" borderId="26" xfId="0" applyFill="1" applyBorder="1"/>
    <xf numFmtId="0" fontId="0" fillId="0" borderId="24" xfId="0" applyFill="1" applyBorder="1"/>
    <xf numFmtId="2" fontId="18" fillId="0" borderId="11" xfId="42" applyNumberFormat="1" applyFont="1" applyFill="1" applyBorder="1" applyAlignment="1">
      <alignment wrapText="1"/>
    </xf>
    <xf numFmtId="2" fontId="18" fillId="0" borderId="0" xfId="4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3" fontId="18" fillId="0" borderId="0" xfId="42" applyNumberFormat="1" applyFont="1" applyAlignment="1">
      <alignment horizontal="center"/>
    </xf>
    <xf numFmtId="2" fontId="18" fillId="0" borderId="13" xfId="42" applyNumberFormat="1" applyFont="1" applyFill="1" applyBorder="1" applyAlignme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4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Belmont</a:t>
            </a:r>
            <a:r>
              <a:rPr lang="en-US" baseline="0"/>
              <a:t> Two Family Natural Gas Use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6032501086105655"/>
          <c:y val="0.13928441236512268"/>
          <c:w val="0.70199463053389777"/>
          <c:h val="0.59817062797705756"/>
        </c:manualLayout>
      </c:layout>
      <c:barChart>
        <c:barDir val="col"/>
        <c:grouping val="clustered"/>
        <c:ser>
          <c:idx val="0"/>
          <c:order val="0"/>
          <c:tx>
            <c:strRef>
              <c:f>Gas!$C$5</c:f>
              <c:strCache>
                <c:ptCount val="1"/>
                <c:pt idx="0">
                  <c:v>therms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Gas!$A$6:$A$25</c:f>
              <c:numCache>
                <c:formatCode>mmm-yy</c:formatCode>
                <c:ptCount val="20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40735</c:v>
                </c:pt>
                <c:pt idx="8">
                  <c:v>40766</c:v>
                </c:pt>
                <c:pt idx="9">
                  <c:v>40797</c:v>
                </c:pt>
                <c:pt idx="10">
                  <c:v>40827</c:v>
                </c:pt>
                <c:pt idx="11">
                  <c:v>40858</c:v>
                </c:pt>
                <c:pt idx="12">
                  <c:v>40888</c:v>
                </c:pt>
                <c:pt idx="13">
                  <c:v>40920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</c:numCache>
            </c:numRef>
          </c:cat>
          <c:val>
            <c:numRef>
              <c:f>Gas!$C$6:$C$25</c:f>
              <c:numCache>
                <c:formatCode>General</c:formatCode>
                <c:ptCount val="20"/>
                <c:pt idx="0">
                  <c:v>66</c:v>
                </c:pt>
                <c:pt idx="1">
                  <c:v>75</c:v>
                </c:pt>
                <c:pt idx="2">
                  <c:v>62</c:v>
                </c:pt>
                <c:pt idx="3">
                  <c:v>34</c:v>
                </c:pt>
                <c:pt idx="4">
                  <c:v>14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8</c:v>
                </c:pt>
                <c:pt idx="11">
                  <c:v>13</c:v>
                </c:pt>
                <c:pt idx="12">
                  <c:v>43</c:v>
                </c:pt>
                <c:pt idx="13">
                  <c:v>55</c:v>
                </c:pt>
                <c:pt idx="14">
                  <c:v>44</c:v>
                </c:pt>
                <c:pt idx="15">
                  <c:v>24</c:v>
                </c:pt>
                <c:pt idx="16">
                  <c:v>10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axId val="76802688"/>
        <c:axId val="76804480"/>
      </c:barChart>
      <c:lineChart>
        <c:grouping val="standard"/>
        <c:ser>
          <c:idx val="1"/>
          <c:order val="1"/>
          <c:tx>
            <c:strRef>
              <c:f>Gas!$D$5</c:f>
              <c:strCache>
                <c:ptCount val="1"/>
                <c:pt idx="0">
                  <c:v>HDD</c:v>
                </c:pt>
              </c:strCache>
            </c:strRef>
          </c:tx>
          <c:cat>
            <c:numRef>
              <c:f>Gas!$A$6:$A$12</c:f>
              <c:numCache>
                <c:formatCode>mmm-yy</c:formatCode>
                <c:ptCount val="7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</c:numCache>
            </c:numRef>
          </c:cat>
          <c:val>
            <c:numRef>
              <c:f>Gas!$D$6:$D$25</c:f>
              <c:numCache>
                <c:formatCode>General</c:formatCode>
                <c:ptCount val="20"/>
                <c:pt idx="0">
                  <c:v>1110</c:v>
                </c:pt>
                <c:pt idx="1">
                  <c:v>1298</c:v>
                </c:pt>
                <c:pt idx="2">
                  <c:v>1070</c:v>
                </c:pt>
                <c:pt idx="3">
                  <c:v>885</c:v>
                </c:pt>
                <c:pt idx="4">
                  <c:v>502</c:v>
                </c:pt>
                <c:pt idx="5">
                  <c:v>268</c:v>
                </c:pt>
                <c:pt idx="6">
                  <c:v>113</c:v>
                </c:pt>
                <c:pt idx="7">
                  <c:v>20</c:v>
                </c:pt>
                <c:pt idx="8">
                  <c:v>31</c:v>
                </c:pt>
                <c:pt idx="9">
                  <c:v>108</c:v>
                </c:pt>
                <c:pt idx="10">
                  <c:v>418</c:v>
                </c:pt>
                <c:pt idx="11">
                  <c:v>563</c:v>
                </c:pt>
                <c:pt idx="12">
                  <c:v>882</c:v>
                </c:pt>
                <c:pt idx="13">
                  <c:v>1053</c:v>
                </c:pt>
                <c:pt idx="14">
                  <c:v>895</c:v>
                </c:pt>
                <c:pt idx="15">
                  <c:v>652</c:v>
                </c:pt>
                <c:pt idx="16">
                  <c:v>463</c:v>
                </c:pt>
                <c:pt idx="17">
                  <c:v>208</c:v>
                </c:pt>
                <c:pt idx="18">
                  <c:v>121</c:v>
                </c:pt>
                <c:pt idx="19">
                  <c:v>22</c:v>
                </c:pt>
              </c:numCache>
            </c:numRef>
          </c:val>
        </c:ser>
        <c:marker val="1"/>
        <c:axId val="77124352"/>
        <c:axId val="77103104"/>
      </c:lineChart>
      <c:dateAx>
        <c:axId val="76802688"/>
        <c:scaling>
          <c:orientation val="minMax"/>
        </c:scaling>
        <c:axPos val="b"/>
        <c:numFmt formatCode="mmm-yy" sourceLinked="1"/>
        <c:tickLblPos val="nextTo"/>
        <c:txPr>
          <a:bodyPr rot="-2340000"/>
          <a:lstStyle/>
          <a:p>
            <a:pPr>
              <a:defRPr/>
            </a:pPr>
            <a:endParaRPr lang="en-US"/>
          </a:p>
        </c:txPr>
        <c:crossAx val="76804480"/>
        <c:crosses val="autoZero"/>
        <c:auto val="1"/>
        <c:lblOffset val="100"/>
        <c:baseTimeUnit val="months"/>
      </c:dateAx>
      <c:valAx>
        <c:axId val="768044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Therms/month</a:t>
                </a:r>
              </a:p>
            </c:rich>
          </c:tx>
        </c:title>
        <c:numFmt formatCode="General" sourceLinked="1"/>
        <c:tickLblPos val="nextTo"/>
        <c:crossAx val="76802688"/>
        <c:crosses val="autoZero"/>
        <c:crossBetween val="between"/>
      </c:valAx>
      <c:valAx>
        <c:axId val="7710310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rgbClr val="FF0000"/>
                    </a:solidFill>
                  </a:rPr>
                  <a:t>Heating Degree Days </a:t>
                </a:r>
                <a:r>
                  <a:rPr lang="en-US" baseline="0">
                    <a:solidFill>
                      <a:srgbClr val="FF0000"/>
                    </a:solidFill>
                  </a:rPr>
                  <a:t> Base 65 F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en-US"/>
          </a:p>
        </c:txPr>
        <c:crossAx val="77124352"/>
        <c:crosses val="max"/>
        <c:crossBetween val="between"/>
      </c:valAx>
      <c:dateAx>
        <c:axId val="77124352"/>
        <c:scaling>
          <c:orientation val="minMax"/>
        </c:scaling>
        <c:delete val="1"/>
        <c:axPos val="b"/>
        <c:numFmt formatCode="mmm-yy" sourceLinked="1"/>
        <c:tickLblPos val="none"/>
        <c:crossAx val="77103104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35853118474607149"/>
          <c:y val="0.88564237630019083"/>
          <c:w val="0.26684364683247547"/>
          <c:h val="9.1209475551667266E-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Belmont</a:t>
            </a:r>
            <a:r>
              <a:rPr lang="en-US" sz="1200" baseline="0"/>
              <a:t> Two Family Electrical Consumption &amp; PV Production</a:t>
            </a:r>
            <a:endParaRPr lang="en-US" sz="1200"/>
          </a:p>
        </c:rich>
      </c:tx>
      <c:layout>
        <c:manualLayout>
          <c:xMode val="edge"/>
          <c:yMode val="edge"/>
          <c:x val="0.12409309763431889"/>
          <c:y val="7.6608075505713302E-2"/>
        </c:manualLayout>
      </c:layout>
    </c:title>
    <c:plotArea>
      <c:layout>
        <c:manualLayout>
          <c:layoutTarget val="inner"/>
          <c:xMode val="edge"/>
          <c:yMode val="edge"/>
          <c:x val="0.15905796150481191"/>
          <c:y val="0.19480351414406533"/>
          <c:w val="0.7133039385529345"/>
          <c:h val="0.56173946677718445"/>
        </c:manualLayout>
      </c:layout>
      <c:barChart>
        <c:barDir val="col"/>
        <c:grouping val="clustered"/>
        <c:ser>
          <c:idx val="0"/>
          <c:order val="0"/>
          <c:tx>
            <c:strRef>
              <c:f>Elec!$D$5</c:f>
              <c:strCache>
                <c:ptCount val="1"/>
                <c:pt idx="0">
                  <c:v>Electric Consumption (kWh)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Elec!$A$7:$A$25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Elec!$D$7:$D$25</c:f>
              <c:numCache>
                <c:formatCode>General</c:formatCode>
                <c:ptCount val="19"/>
                <c:pt idx="0">
                  <c:v>1033</c:v>
                </c:pt>
                <c:pt idx="1">
                  <c:v>943</c:v>
                </c:pt>
                <c:pt idx="2">
                  <c:v>897</c:v>
                </c:pt>
                <c:pt idx="3">
                  <c:v>893</c:v>
                </c:pt>
                <c:pt idx="4">
                  <c:v>835</c:v>
                </c:pt>
                <c:pt idx="5">
                  <c:v>758</c:v>
                </c:pt>
                <c:pt idx="6">
                  <c:v>933</c:v>
                </c:pt>
                <c:pt idx="7">
                  <c:v>731</c:v>
                </c:pt>
                <c:pt idx="8">
                  <c:v>682</c:v>
                </c:pt>
                <c:pt idx="9">
                  <c:v>854</c:v>
                </c:pt>
                <c:pt idx="10">
                  <c:v>951</c:v>
                </c:pt>
                <c:pt idx="11">
                  <c:v>1092</c:v>
                </c:pt>
                <c:pt idx="12">
                  <c:v>1088</c:v>
                </c:pt>
                <c:pt idx="13">
                  <c:v>1037</c:v>
                </c:pt>
                <c:pt idx="14">
                  <c:v>901</c:v>
                </c:pt>
                <c:pt idx="15">
                  <c:v>789</c:v>
                </c:pt>
                <c:pt idx="16">
                  <c:v>1253</c:v>
                </c:pt>
                <c:pt idx="17">
                  <c:v>805</c:v>
                </c:pt>
                <c:pt idx="18">
                  <c:v>1232</c:v>
                </c:pt>
              </c:numCache>
            </c:numRef>
          </c:val>
        </c:ser>
        <c:ser>
          <c:idx val="1"/>
          <c:order val="1"/>
          <c:tx>
            <c:strRef>
              <c:f>Elec!$E$5</c:f>
              <c:strCache>
                <c:ptCount val="1"/>
                <c:pt idx="0">
                  <c:v>PV Production (kWh)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>
                  <a:alpha val="25000"/>
                </a:schemeClr>
              </a:solidFill>
            </a:ln>
          </c:spPr>
          <c:cat>
            <c:numRef>
              <c:f>Elec!$A$7:$A$25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Elec!$E$7:$E$25</c:f>
              <c:numCache>
                <c:formatCode>General</c:formatCode>
                <c:ptCount val="19"/>
                <c:pt idx="0">
                  <c:v>-303</c:v>
                </c:pt>
                <c:pt idx="1">
                  <c:v>-376</c:v>
                </c:pt>
                <c:pt idx="2">
                  <c:v>-590</c:v>
                </c:pt>
                <c:pt idx="3">
                  <c:v>-534</c:v>
                </c:pt>
                <c:pt idx="4">
                  <c:v>-585</c:v>
                </c:pt>
                <c:pt idx="5">
                  <c:v>-571</c:v>
                </c:pt>
                <c:pt idx="6">
                  <c:v>-766</c:v>
                </c:pt>
                <c:pt idx="7">
                  <c:v>-675</c:v>
                </c:pt>
                <c:pt idx="8">
                  <c:v>-483</c:v>
                </c:pt>
                <c:pt idx="9">
                  <c:v>-488</c:v>
                </c:pt>
                <c:pt idx="10">
                  <c:v>-450</c:v>
                </c:pt>
                <c:pt idx="11">
                  <c:v>-382</c:v>
                </c:pt>
                <c:pt idx="12">
                  <c:v>-417</c:v>
                </c:pt>
                <c:pt idx="13">
                  <c:v>-536</c:v>
                </c:pt>
                <c:pt idx="14">
                  <c:v>-569</c:v>
                </c:pt>
                <c:pt idx="15">
                  <c:v>-580</c:v>
                </c:pt>
                <c:pt idx="16">
                  <c:v>-677</c:v>
                </c:pt>
                <c:pt idx="17">
                  <c:v>-569</c:v>
                </c:pt>
                <c:pt idx="18">
                  <c:v>-780</c:v>
                </c:pt>
              </c:numCache>
            </c:numRef>
          </c:val>
        </c:ser>
        <c:gapWidth val="202"/>
        <c:overlap val="100"/>
        <c:axId val="118117888"/>
        <c:axId val="118119808"/>
      </c:barChart>
      <c:lineChart>
        <c:grouping val="standard"/>
        <c:ser>
          <c:idx val="2"/>
          <c:order val="2"/>
          <c:tx>
            <c:strRef>
              <c:f>Elec!$F$5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Elec!$A$7:$A$12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Elec!$F$7:$F$25</c:f>
              <c:numCache>
                <c:formatCode>General</c:formatCode>
                <c:ptCount val="19"/>
                <c:pt idx="0">
                  <c:v>1298</c:v>
                </c:pt>
                <c:pt idx="1">
                  <c:v>1070</c:v>
                </c:pt>
                <c:pt idx="2">
                  <c:v>885</c:v>
                </c:pt>
                <c:pt idx="3">
                  <c:v>502</c:v>
                </c:pt>
                <c:pt idx="4">
                  <c:v>268</c:v>
                </c:pt>
                <c:pt idx="5">
                  <c:v>113</c:v>
                </c:pt>
                <c:pt idx="6">
                  <c:v>20</c:v>
                </c:pt>
                <c:pt idx="7">
                  <c:v>31</c:v>
                </c:pt>
                <c:pt idx="8">
                  <c:v>108</c:v>
                </c:pt>
                <c:pt idx="9">
                  <c:v>418</c:v>
                </c:pt>
                <c:pt idx="10">
                  <c:v>563</c:v>
                </c:pt>
                <c:pt idx="11">
                  <c:v>882</c:v>
                </c:pt>
                <c:pt idx="12">
                  <c:v>1053</c:v>
                </c:pt>
                <c:pt idx="13">
                  <c:v>895</c:v>
                </c:pt>
                <c:pt idx="14">
                  <c:v>652</c:v>
                </c:pt>
                <c:pt idx="15">
                  <c:v>463</c:v>
                </c:pt>
                <c:pt idx="16">
                  <c:v>208</c:v>
                </c:pt>
                <c:pt idx="17">
                  <c:v>121</c:v>
                </c:pt>
                <c:pt idx="18">
                  <c:v>22</c:v>
                </c:pt>
              </c:numCache>
            </c:numRef>
          </c:val>
        </c:ser>
        <c:marker val="1"/>
        <c:axId val="118117888"/>
        <c:axId val="118119808"/>
      </c:lineChart>
      <c:lineChart>
        <c:grouping val="standard"/>
        <c:ser>
          <c:idx val="3"/>
          <c:order val="3"/>
          <c:tx>
            <c:strRef>
              <c:f>Elec!$G$5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Elec!$A$7:$A$12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Elec!$G$7:$G$25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63</c:v>
                </c:pt>
                <c:pt idx="5">
                  <c:v>122</c:v>
                </c:pt>
                <c:pt idx="6">
                  <c:v>309</c:v>
                </c:pt>
                <c:pt idx="7">
                  <c:v>202</c:v>
                </c:pt>
                <c:pt idx="8">
                  <c:v>105</c:v>
                </c:pt>
                <c:pt idx="9">
                  <c:v>15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23</c:v>
                </c:pt>
                <c:pt idx="15">
                  <c:v>26</c:v>
                </c:pt>
                <c:pt idx="16">
                  <c:v>60</c:v>
                </c:pt>
                <c:pt idx="17">
                  <c:v>128</c:v>
                </c:pt>
                <c:pt idx="18">
                  <c:v>291</c:v>
                </c:pt>
              </c:numCache>
            </c:numRef>
          </c:val>
        </c:ser>
        <c:marker val="1"/>
        <c:axId val="118124928"/>
        <c:axId val="118122368"/>
      </c:lineChart>
      <c:dateAx>
        <c:axId val="118117888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118119808"/>
        <c:crosses val="autoZero"/>
        <c:auto val="1"/>
        <c:lblOffset val="100"/>
        <c:baseTimeUnit val="months"/>
      </c:dateAx>
      <c:valAx>
        <c:axId val="1181198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General" sourceLinked="1"/>
        <c:tickLblPos val="nextTo"/>
        <c:crossAx val="118117888"/>
        <c:crosses val="autoZero"/>
        <c:crossBetween val="between"/>
        <c:majorUnit val="200"/>
      </c:valAx>
      <c:valAx>
        <c:axId val="118122368"/>
        <c:scaling>
          <c:orientation val="minMax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18124928"/>
        <c:crosses val="max"/>
        <c:crossBetween val="between"/>
        <c:majorUnit val="20"/>
      </c:valAx>
      <c:dateAx>
        <c:axId val="118124928"/>
        <c:scaling>
          <c:orientation val="minMax"/>
        </c:scaling>
        <c:delete val="1"/>
        <c:axPos val="b"/>
        <c:numFmt formatCode="mmm-yy" sourceLinked="1"/>
        <c:tickLblPos val="none"/>
        <c:crossAx val="11812236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53"/>
          <c:y val="0.82399778974995941"/>
          <c:w val="0.79247134733158364"/>
          <c:h val="0.1112941013952207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v>Source MMBtu</c:v>
          </c:tx>
          <c:spPr>
            <a:solidFill>
              <a:srgbClr val="FFFF66"/>
            </a:solidFill>
            <a:ln>
              <a:solidFill>
                <a:prstClr val="black"/>
              </a:solidFill>
            </a:ln>
          </c:spPr>
          <c:cat>
            <c:numRef>
              <c:f>'Energy Use'!$J$17:$J$28</c:f>
              <c:numCache>
                <c:formatCode>mmm-yy</c:formatCode>
                <c:ptCount val="12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</c:numCache>
            </c:numRef>
          </c:cat>
          <c:val>
            <c:numRef>
              <c:f>'Energy Use'!$AD$17:$AD$28</c:f>
              <c:numCache>
                <c:formatCode>0.00</c:formatCode>
                <c:ptCount val="12"/>
                <c:pt idx="0">
                  <c:v>8.4376760199999996</c:v>
                </c:pt>
                <c:pt idx="1">
                  <c:v>7.7744044399999996</c:v>
                </c:pt>
                <c:pt idx="2">
                  <c:v>10.572704679999998</c:v>
                </c:pt>
                <c:pt idx="3">
                  <c:v>12.201948419999997</c:v>
                </c:pt>
                <c:pt idx="4">
                  <c:v>16.950266639999999</c:v>
                </c:pt>
                <c:pt idx="5">
                  <c:v>18.161068960000001</c:v>
                </c:pt>
                <c:pt idx="6">
                  <c:v>16.427998540000001</c:v>
                </c:pt>
                <c:pt idx="7">
                  <c:v>12.783677419999998</c:v>
                </c:pt>
                <c:pt idx="8">
                  <c:v>10.041142379999998</c:v>
                </c:pt>
                <c:pt idx="9">
                  <c:v>14.806973259999998</c:v>
                </c:pt>
                <c:pt idx="10">
                  <c:v>9.2812330999999997</c:v>
                </c:pt>
                <c:pt idx="11">
                  <c:v>14.04408544</c:v>
                </c:pt>
              </c:numCache>
            </c:numRef>
          </c:val>
        </c:ser>
        <c:ser>
          <c:idx val="3"/>
          <c:order val="3"/>
          <c:tx>
            <c:v>Source MMBtu w/ PV credit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'Energy Use'!$AC$17:$AC$28</c:f>
              <c:numCache>
                <c:formatCode>0.00</c:formatCode>
                <c:ptCount val="12"/>
                <c:pt idx="0">
                  <c:v>3.0468425199999993</c:v>
                </c:pt>
                <c:pt idx="1">
                  <c:v>3.9169635799999991</c:v>
                </c:pt>
                <c:pt idx="2">
                  <c:v>6.67533172</c:v>
                </c:pt>
                <c:pt idx="3">
                  <c:v>8.60805942</c:v>
                </c:pt>
                <c:pt idx="4">
                  <c:v>13.899454200000001</c:v>
                </c:pt>
                <c:pt idx="5">
                  <c:v>14.830731819999999</c:v>
                </c:pt>
                <c:pt idx="6">
                  <c:v>12.14727742</c:v>
                </c:pt>
                <c:pt idx="7">
                  <c:v>8.2394044399999995</c:v>
                </c:pt>
                <c:pt idx="8">
                  <c:v>5.4090187799999994</c:v>
                </c:pt>
                <c:pt idx="9">
                  <c:v>9.4001669200000002</c:v>
                </c:pt>
                <c:pt idx="10">
                  <c:v>4.73696012</c:v>
                </c:pt>
                <c:pt idx="11">
                  <c:v>7.814677839999999</c:v>
                </c:pt>
              </c:numCache>
            </c:numRef>
          </c:val>
        </c:ser>
        <c:axId val="75958912"/>
        <c:axId val="75973376"/>
      </c:barChart>
      <c:lineChart>
        <c:grouping val="standard"/>
        <c:ser>
          <c:idx val="1"/>
          <c:order val="1"/>
          <c:tx>
            <c:v>HDD</c:v>
          </c:tx>
          <c:val>
            <c:numRef>
              <c:f>HDD!$B$21:$B$32</c:f>
              <c:numCache>
                <c:formatCode>General</c:formatCode>
                <c:ptCount val="12"/>
                <c:pt idx="0">
                  <c:v>31</c:v>
                </c:pt>
                <c:pt idx="1">
                  <c:v>108</c:v>
                </c:pt>
                <c:pt idx="2">
                  <c:v>418</c:v>
                </c:pt>
                <c:pt idx="3">
                  <c:v>563</c:v>
                </c:pt>
                <c:pt idx="4">
                  <c:v>882</c:v>
                </c:pt>
                <c:pt idx="5">
                  <c:v>1053</c:v>
                </c:pt>
                <c:pt idx="6">
                  <c:v>895</c:v>
                </c:pt>
                <c:pt idx="7">
                  <c:v>652</c:v>
                </c:pt>
                <c:pt idx="8">
                  <c:v>463</c:v>
                </c:pt>
                <c:pt idx="9">
                  <c:v>208</c:v>
                </c:pt>
                <c:pt idx="10">
                  <c:v>121</c:v>
                </c:pt>
                <c:pt idx="11">
                  <c:v>22</c:v>
                </c:pt>
              </c:numCache>
            </c:numRef>
          </c:val>
        </c:ser>
        <c:ser>
          <c:idx val="2"/>
          <c:order val="2"/>
          <c:tx>
            <c:v>CDD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CDD!$B$21:$B$32</c:f>
              <c:numCache>
                <c:formatCode>General</c:formatCode>
                <c:ptCount val="12"/>
                <c:pt idx="0">
                  <c:v>202</c:v>
                </c:pt>
                <c:pt idx="1">
                  <c:v>105</c:v>
                </c:pt>
                <c:pt idx="2">
                  <c:v>15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  <c:pt idx="8">
                  <c:v>26</c:v>
                </c:pt>
                <c:pt idx="9">
                  <c:v>60</c:v>
                </c:pt>
                <c:pt idx="10">
                  <c:v>128</c:v>
                </c:pt>
                <c:pt idx="11">
                  <c:v>291</c:v>
                </c:pt>
              </c:numCache>
            </c:numRef>
          </c:val>
        </c:ser>
        <c:marker val="1"/>
        <c:axId val="75976704"/>
        <c:axId val="75974912"/>
      </c:lineChart>
      <c:dateAx>
        <c:axId val="75958912"/>
        <c:scaling>
          <c:orientation val="minMax"/>
        </c:scaling>
        <c:axPos val="b"/>
        <c:numFmt formatCode="mmm-yy" sourceLinked="1"/>
        <c:tickLblPos val="nextTo"/>
        <c:crossAx val="75973376"/>
        <c:crosses val="autoZero"/>
        <c:auto val="1"/>
        <c:lblOffset val="100"/>
      </c:dateAx>
      <c:valAx>
        <c:axId val="75973376"/>
        <c:scaling>
          <c:orientation val="minMax"/>
        </c:scaling>
        <c:axPos val="l"/>
        <c:majorGridlines/>
        <c:numFmt formatCode="0" sourceLinked="0"/>
        <c:tickLblPos val="nextTo"/>
        <c:crossAx val="75958912"/>
        <c:crosses val="autoZero"/>
        <c:crossBetween val="between"/>
      </c:valAx>
      <c:valAx>
        <c:axId val="75974912"/>
        <c:scaling>
          <c:orientation val="minMax"/>
        </c:scaling>
        <c:axPos val="r"/>
        <c:numFmt formatCode="General" sourceLinked="1"/>
        <c:tickLblPos val="nextTo"/>
        <c:crossAx val="75976704"/>
        <c:crosses val="max"/>
        <c:crossBetween val="between"/>
      </c:valAx>
      <c:catAx>
        <c:axId val="75976704"/>
        <c:scaling>
          <c:orientation val="minMax"/>
        </c:scaling>
        <c:delete val="1"/>
        <c:axPos val="b"/>
        <c:tickLblPos val="none"/>
        <c:crossAx val="75974912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v>Natural Gas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'Weather Lin Regr Analysis'!$G$9:$G$20</c:f>
              <c:numCache>
                <c:formatCode>General</c:formatCode>
                <c:ptCount val="12"/>
                <c:pt idx="0">
                  <c:v>31</c:v>
                </c:pt>
                <c:pt idx="1">
                  <c:v>108</c:v>
                </c:pt>
                <c:pt idx="2">
                  <c:v>418</c:v>
                </c:pt>
                <c:pt idx="3">
                  <c:v>563</c:v>
                </c:pt>
                <c:pt idx="4">
                  <c:v>882</c:v>
                </c:pt>
                <c:pt idx="5">
                  <c:v>1053</c:v>
                </c:pt>
                <c:pt idx="6">
                  <c:v>895</c:v>
                </c:pt>
                <c:pt idx="7">
                  <c:v>652</c:v>
                </c:pt>
                <c:pt idx="8">
                  <c:v>463</c:v>
                </c:pt>
                <c:pt idx="9">
                  <c:v>208</c:v>
                </c:pt>
                <c:pt idx="10">
                  <c:v>121</c:v>
                </c:pt>
                <c:pt idx="11">
                  <c:v>22</c:v>
                </c:pt>
              </c:numCache>
            </c:numRef>
          </c:xVal>
          <c:yVal>
            <c:numRef>
              <c:f>'Weather Lin Regr Analysis'!$E$9:$E$20</c:f>
              <c:numCache>
                <c:formatCode>0.00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0.8</c:v>
                </c:pt>
                <c:pt idx="3">
                  <c:v>1.3</c:v>
                </c:pt>
                <c:pt idx="4">
                  <c:v>4.3</c:v>
                </c:pt>
                <c:pt idx="5">
                  <c:v>5.5</c:v>
                </c:pt>
                <c:pt idx="6">
                  <c:v>4.4000000000000004</c:v>
                </c:pt>
                <c:pt idx="7">
                  <c:v>2.4000000000000004</c:v>
                </c:pt>
                <c:pt idx="8">
                  <c:v>1</c:v>
                </c:pt>
                <c:pt idx="9">
                  <c:v>0.5</c:v>
                </c:pt>
                <c:pt idx="10">
                  <c:v>0.1</c:v>
                </c:pt>
                <c:pt idx="11">
                  <c:v>0</c:v>
                </c:pt>
              </c:numCache>
            </c:numRef>
          </c:yVal>
        </c:ser>
        <c:axId val="76149120"/>
        <c:axId val="76150656"/>
      </c:scatterChart>
      <c:valAx>
        <c:axId val="76149120"/>
        <c:scaling>
          <c:orientation val="minMax"/>
        </c:scaling>
        <c:axPos val="b"/>
        <c:numFmt formatCode="General" sourceLinked="1"/>
        <c:tickLblPos val="nextTo"/>
        <c:crossAx val="76150656"/>
        <c:crosses val="autoZero"/>
        <c:crossBetween val="midCat"/>
      </c:valAx>
      <c:valAx>
        <c:axId val="76150656"/>
        <c:scaling>
          <c:orientation val="minMax"/>
        </c:scaling>
        <c:axPos val="l"/>
        <c:majorGridlines/>
        <c:numFmt formatCode="0.00" sourceLinked="1"/>
        <c:tickLblPos val="nextTo"/>
        <c:crossAx val="761491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</xdr:row>
      <xdr:rowOff>175260</xdr:rowOff>
    </xdr:from>
    <xdr:to>
      <xdr:col>15</xdr:col>
      <xdr:colOff>213360</xdr:colOff>
      <xdr:row>21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3</xdr:row>
      <xdr:rowOff>83820</xdr:rowOff>
    </xdr:from>
    <xdr:to>
      <xdr:col>19</xdr:col>
      <xdr:colOff>348615</xdr:colOff>
      <xdr:row>23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0.89441</cdr:x>
      <cdr:y>0.58903</cdr:y>
    </cdr:from>
    <cdr:to>
      <cdr:x>0.94444</cdr:x>
      <cdr:y>0.81851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631065" y="2221776"/>
          <a:ext cx="259045" cy="865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40</xdr:row>
      <xdr:rowOff>19050</xdr:rowOff>
    </xdr:from>
    <xdr:to>
      <xdr:col>8</xdr:col>
      <xdr:colOff>66675</xdr:colOff>
      <xdr:row>54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10</xdr:col>
      <xdr:colOff>304800</xdr:colOff>
      <xdr:row>38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preadsheets.google.com/pub?key=0Au4p6kIaKukUdGwxT0t4NUd2NHFjQ0NfT1lCZS1KUXc&amp;hl=en&amp;single=true&amp;gid=2&amp;output=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preadsheets.google.com/pub?key=0Au4p6kIaKukUdGwxT0t4NUd2NHFjQ0NfT1lCZS1KUXc&amp;hl=en&amp;single=true&amp;gid=2&amp;output=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C30"/>
  <sheetViews>
    <sheetView topLeftCell="A3" workbookViewId="0">
      <selection activeCell="F29" sqref="F29"/>
    </sheetView>
  </sheetViews>
  <sheetFormatPr defaultRowHeight="15"/>
  <cols>
    <col min="1" max="6" width="9.140625" style="19"/>
    <col min="7" max="8" width="9.5703125" style="19" bestFit="1" customWidth="1"/>
    <col min="9" max="23" width="9.140625" style="19"/>
    <col min="24" max="25" width="9.5703125" style="19" bestFit="1" customWidth="1"/>
    <col min="26" max="16384" width="9.140625" style="19"/>
  </cols>
  <sheetData>
    <row r="2" spans="2:4">
      <c r="B2" s="19" t="s">
        <v>0</v>
      </c>
    </row>
    <row r="3" spans="2:4">
      <c r="B3" s="19" t="s">
        <v>1</v>
      </c>
    </row>
    <row r="5" spans="2:4">
      <c r="B5" s="19" t="s">
        <v>42</v>
      </c>
    </row>
    <row r="7" spans="2:4">
      <c r="B7" s="29" t="s">
        <v>43</v>
      </c>
      <c r="C7" s="30"/>
      <c r="D7" s="31"/>
    </row>
    <row r="8" spans="2:4">
      <c r="B8" s="32"/>
      <c r="C8" s="33"/>
      <c r="D8" s="34"/>
    </row>
    <row r="9" spans="2:4">
      <c r="B9" s="32" t="s">
        <v>44</v>
      </c>
      <c r="C9" s="33"/>
      <c r="D9" s="34" t="s">
        <v>45</v>
      </c>
    </row>
    <row r="10" spans="2:4">
      <c r="B10" s="32"/>
      <c r="C10" s="33"/>
      <c r="D10" s="34">
        <v>8811</v>
      </c>
    </row>
    <row r="11" spans="2:4">
      <c r="B11" s="32" t="s">
        <v>46</v>
      </c>
      <c r="C11" s="33"/>
      <c r="D11" s="34" t="s">
        <v>3</v>
      </c>
    </row>
    <row r="12" spans="2:4">
      <c r="B12" s="32"/>
      <c r="C12" s="33"/>
      <c r="D12" s="34">
        <v>309</v>
      </c>
    </row>
    <row r="13" spans="2:4">
      <c r="B13" s="32" t="s">
        <v>47</v>
      </c>
      <c r="C13" s="33"/>
      <c r="D13" s="34" t="s">
        <v>48</v>
      </c>
    </row>
    <row r="14" spans="2:4">
      <c r="B14" s="35"/>
      <c r="C14" s="36"/>
      <c r="D14" s="37">
        <v>3063</v>
      </c>
    </row>
    <row r="17" spans="2:29">
      <c r="C17" s="1"/>
    </row>
    <row r="18" spans="2:29">
      <c r="D18" s="19" t="s">
        <v>32</v>
      </c>
      <c r="F18" s="28">
        <f>1/F20</f>
        <v>292.99736302373282</v>
      </c>
    </row>
    <row r="19" spans="2:29">
      <c r="D19" s="19" t="s">
        <v>29</v>
      </c>
      <c r="F19" s="26">
        <f>100000/1000000</f>
        <v>0.1</v>
      </c>
    </row>
    <row r="20" spans="2:29">
      <c r="D20" s="19" t="s">
        <v>28</v>
      </c>
      <c r="F20" s="19">
        <f>3413/1000000</f>
        <v>3.4129999999999998E-3</v>
      </c>
    </row>
    <row r="21" spans="2:29">
      <c r="D21" s="33" t="s">
        <v>51</v>
      </c>
      <c r="E21" s="33"/>
      <c r="F21" s="33">
        <f>138.6905/1000</f>
        <v>0.13869049999999999</v>
      </c>
    </row>
    <row r="22" spans="2:29">
      <c r="C22" s="19" t="s">
        <v>31</v>
      </c>
      <c r="F22" s="19">
        <v>3.34</v>
      </c>
    </row>
    <row r="23" spans="2:29">
      <c r="C23" s="19" t="s">
        <v>30</v>
      </c>
      <c r="F23" s="19">
        <v>1.0469999999999999</v>
      </c>
    </row>
    <row r="24" spans="2:29">
      <c r="C24" s="19" t="s">
        <v>52</v>
      </c>
      <c r="F24" s="19">
        <v>1.01</v>
      </c>
    </row>
    <row r="25" spans="2:29"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8"/>
      <c r="P25" s="38"/>
      <c r="Q25" s="38"/>
      <c r="R25" s="38"/>
      <c r="S25" s="38"/>
      <c r="T25" s="30"/>
      <c r="U25" s="30"/>
      <c r="V25" s="30"/>
      <c r="W25" s="30"/>
      <c r="X25" s="30" t="s">
        <v>35</v>
      </c>
      <c r="Y25" s="30"/>
      <c r="Z25" s="30"/>
      <c r="AA25" s="30" t="s">
        <v>38</v>
      </c>
      <c r="AB25" s="30"/>
      <c r="AC25" s="31"/>
    </row>
    <row r="26" spans="2:29">
      <c r="B26" s="32"/>
      <c r="C26" s="33"/>
      <c r="D26" s="33" t="s">
        <v>53</v>
      </c>
      <c r="E26" s="33"/>
      <c r="F26" s="33"/>
      <c r="G26" s="33"/>
      <c r="H26" s="33"/>
      <c r="I26" s="33"/>
      <c r="J26" s="33" t="s">
        <v>55</v>
      </c>
      <c r="K26" s="33"/>
      <c r="L26" s="33"/>
      <c r="M26" s="33"/>
      <c r="N26" s="33"/>
      <c r="O26" s="8"/>
      <c r="P26" s="129" t="s">
        <v>5</v>
      </c>
      <c r="Q26" s="129"/>
      <c r="R26" s="33" t="s">
        <v>34</v>
      </c>
      <c r="S26" s="33"/>
      <c r="T26" s="33" t="s">
        <v>25</v>
      </c>
      <c r="U26" s="33" t="s">
        <v>26</v>
      </c>
      <c r="V26" s="33"/>
      <c r="W26" s="33"/>
      <c r="X26" s="33"/>
      <c r="Y26" s="33"/>
      <c r="Z26" s="33"/>
      <c r="AA26" s="33"/>
      <c r="AB26" s="33"/>
      <c r="AC26" s="34"/>
    </row>
    <row r="27" spans="2:29">
      <c r="B27" s="32" t="s">
        <v>49</v>
      </c>
      <c r="C27" s="33"/>
      <c r="D27" s="33" t="s">
        <v>54</v>
      </c>
      <c r="E27" s="33" t="s">
        <v>25</v>
      </c>
      <c r="F27" s="33" t="s">
        <v>26</v>
      </c>
      <c r="G27" s="33" t="s">
        <v>24</v>
      </c>
      <c r="H27" s="33" t="s">
        <v>27</v>
      </c>
      <c r="I27" s="33"/>
      <c r="J27" s="8" t="s">
        <v>3</v>
      </c>
      <c r="K27" s="8" t="s">
        <v>25</v>
      </c>
      <c r="L27" s="8" t="s">
        <v>56</v>
      </c>
      <c r="M27" s="8" t="s">
        <v>24</v>
      </c>
      <c r="N27" s="8" t="s">
        <v>27</v>
      </c>
      <c r="O27" s="8"/>
      <c r="P27" s="39" t="s">
        <v>33</v>
      </c>
      <c r="Q27" s="39"/>
      <c r="R27" s="33"/>
      <c r="S27" s="33"/>
      <c r="T27" s="33"/>
      <c r="U27" s="33"/>
      <c r="V27" s="33" t="s">
        <v>4</v>
      </c>
      <c r="W27" s="33" t="s">
        <v>10</v>
      </c>
      <c r="X27" s="33" t="s">
        <v>36</v>
      </c>
      <c r="Y27" s="33" t="s">
        <v>37</v>
      </c>
      <c r="Z27" s="33"/>
      <c r="AA27" s="33" t="s">
        <v>36</v>
      </c>
      <c r="AB27" s="33" t="s">
        <v>37</v>
      </c>
      <c r="AC27" s="34"/>
    </row>
    <row r="28" spans="2:29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40"/>
      <c r="P28" s="8"/>
      <c r="Q28" s="8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4"/>
    </row>
    <row r="29" spans="2:29">
      <c r="B29" s="32" t="s">
        <v>50</v>
      </c>
      <c r="C29" s="41"/>
      <c r="D29" s="8">
        <f>D14</f>
        <v>3063</v>
      </c>
      <c r="E29" s="27">
        <f>D29*F$21</f>
        <v>424.80900149999997</v>
      </c>
      <c r="F29" s="42">
        <f>E29*F$24</f>
        <v>429.05709151499997</v>
      </c>
      <c r="G29" s="42">
        <f>E29*F$18</f>
        <v>124467.91722824494</v>
      </c>
      <c r="H29" s="42">
        <f>F29*F$18</f>
        <v>125712.5964005274</v>
      </c>
      <c r="I29" s="42"/>
      <c r="J29" s="42">
        <f>D12</f>
        <v>309</v>
      </c>
      <c r="K29" s="42">
        <f>J29*F$19</f>
        <v>30.900000000000002</v>
      </c>
      <c r="L29" s="42">
        <f>K29*F$23</f>
        <v>32.3523</v>
      </c>
      <c r="M29" s="42">
        <f>K29*F$18</f>
        <v>9053.6185174333441</v>
      </c>
      <c r="N29" s="42">
        <f>L29*F$18</f>
        <v>9479.1385877527118</v>
      </c>
      <c r="O29" s="40"/>
      <c r="P29" s="39">
        <f>D10</f>
        <v>8811</v>
      </c>
      <c r="Q29" s="39"/>
      <c r="R29" s="42">
        <f>P29*F$22</f>
        <v>29428.739999999998</v>
      </c>
      <c r="S29" s="33"/>
      <c r="T29" s="42">
        <f>P29*F$20</f>
        <v>30.071942999999997</v>
      </c>
      <c r="U29" s="42">
        <f>R29*F$20</f>
        <v>100.44028961999999</v>
      </c>
      <c r="V29" s="33"/>
      <c r="W29" s="33"/>
      <c r="X29" s="42">
        <f>G29+M29+P29</f>
        <v>142332.53574567829</v>
      </c>
      <c r="Y29" s="42">
        <f>H29+N29+R29</f>
        <v>164620.4749882801</v>
      </c>
      <c r="Z29" s="42"/>
      <c r="AA29" s="42">
        <f>E29+K29+T29</f>
        <v>485.78094449999992</v>
      </c>
      <c r="AB29" s="42">
        <f>F29+L29+U29</f>
        <v>561.84968113499997</v>
      </c>
      <c r="AC29" s="34"/>
    </row>
    <row r="30" spans="2:29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43"/>
      <c r="P30" s="43"/>
      <c r="Q30" s="43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7"/>
    </row>
  </sheetData>
  <mergeCells count="1">
    <mergeCell ref="P26:Q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X27"/>
  <sheetViews>
    <sheetView workbookViewId="0">
      <selection activeCell="E2" sqref="E2"/>
    </sheetView>
  </sheetViews>
  <sheetFormatPr defaultRowHeight="15"/>
  <cols>
    <col min="17" max="17" width="10.5703125" customWidth="1"/>
    <col min="18" max="18" width="11.140625" customWidth="1"/>
    <col min="21" max="21" width="10.85546875" customWidth="1"/>
    <col min="22" max="22" width="11" customWidth="1"/>
  </cols>
  <sheetData>
    <row r="2" spans="1:24">
      <c r="B2" t="s">
        <v>0</v>
      </c>
      <c r="E2" s="21" t="s">
        <v>2</v>
      </c>
    </row>
    <row r="3" spans="1:24">
      <c r="B3" t="s">
        <v>1</v>
      </c>
      <c r="D3" s="19" t="s">
        <v>61</v>
      </c>
    </row>
    <row r="4" spans="1:24">
      <c r="A4" s="19" t="s">
        <v>41</v>
      </c>
      <c r="D4" s="19" t="s">
        <v>39</v>
      </c>
    </row>
    <row r="5" spans="1:24">
      <c r="B5" s="19"/>
      <c r="C5" t="s">
        <v>3</v>
      </c>
      <c r="D5" t="s">
        <v>4</v>
      </c>
      <c r="Q5" s="51">
        <v>40513</v>
      </c>
      <c r="R5" s="51">
        <v>40546</v>
      </c>
      <c r="S5" s="52">
        <v>33</v>
      </c>
      <c r="T5" s="52">
        <v>45</v>
      </c>
      <c r="U5" s="51">
        <v>40513</v>
      </c>
      <c r="V5" s="51">
        <v>40546</v>
      </c>
      <c r="W5" s="52">
        <v>33</v>
      </c>
      <c r="X5" s="52">
        <v>21</v>
      </c>
    </row>
    <row r="6" spans="1:24">
      <c r="A6" s="1">
        <v>40513</v>
      </c>
      <c r="B6" s="2"/>
      <c r="C6" s="3">
        <f>45+21</f>
        <v>66</v>
      </c>
      <c r="D6" s="2">
        <f>HDD!B13</f>
        <v>1110</v>
      </c>
      <c r="Q6" s="51">
        <v>40546</v>
      </c>
      <c r="R6" s="51">
        <v>40574</v>
      </c>
      <c r="S6" s="52">
        <v>28</v>
      </c>
      <c r="T6" s="52">
        <v>55</v>
      </c>
      <c r="U6" s="51">
        <v>40546</v>
      </c>
      <c r="V6" s="51">
        <v>40574</v>
      </c>
      <c r="W6" s="52">
        <v>28</v>
      </c>
      <c r="X6" s="52">
        <v>20</v>
      </c>
    </row>
    <row r="7" spans="1:24">
      <c r="A7" s="1">
        <v>40544</v>
      </c>
      <c r="B7" s="2"/>
      <c r="C7" s="3">
        <f>55+20</f>
        <v>75</v>
      </c>
      <c r="D7" s="6">
        <f>HDD!B14</f>
        <v>1298</v>
      </c>
      <c r="Q7" s="51">
        <v>40574</v>
      </c>
      <c r="R7" s="51">
        <v>40603</v>
      </c>
      <c r="S7" s="52">
        <v>29</v>
      </c>
      <c r="T7" s="52">
        <v>50</v>
      </c>
      <c r="U7" s="51">
        <v>40574</v>
      </c>
      <c r="V7" s="51">
        <v>40603</v>
      </c>
      <c r="W7" s="52">
        <v>29</v>
      </c>
      <c r="X7" s="52">
        <v>12</v>
      </c>
    </row>
    <row r="8" spans="1:24">
      <c r="A8" s="1">
        <v>40575</v>
      </c>
      <c r="B8" s="2"/>
      <c r="C8" s="3">
        <f>50+12</f>
        <v>62</v>
      </c>
      <c r="D8" s="6">
        <f>HDD!B15</f>
        <v>1070</v>
      </c>
      <c r="Q8" s="51">
        <v>40603</v>
      </c>
      <c r="R8" s="51">
        <v>40633</v>
      </c>
      <c r="S8" s="52">
        <v>30</v>
      </c>
      <c r="T8" s="52">
        <v>31</v>
      </c>
      <c r="U8" s="51">
        <v>40603</v>
      </c>
      <c r="V8" s="51">
        <v>40633</v>
      </c>
      <c r="W8" s="52">
        <v>30</v>
      </c>
      <c r="X8" s="52">
        <v>3</v>
      </c>
    </row>
    <row r="9" spans="1:24">
      <c r="A9" s="1">
        <v>40603</v>
      </c>
      <c r="B9" s="2"/>
      <c r="C9" s="3">
        <f>31+3</f>
        <v>34</v>
      </c>
      <c r="D9" s="6">
        <f>HDD!B16</f>
        <v>885</v>
      </c>
      <c r="Q9" s="51">
        <v>40633</v>
      </c>
      <c r="R9" s="51">
        <v>40665</v>
      </c>
      <c r="S9" s="52">
        <v>32</v>
      </c>
      <c r="T9" s="52">
        <v>14</v>
      </c>
      <c r="U9" s="51">
        <v>40633</v>
      </c>
      <c r="V9" s="51">
        <v>40665</v>
      </c>
      <c r="W9" s="52">
        <v>32</v>
      </c>
      <c r="X9" s="52">
        <v>0</v>
      </c>
    </row>
    <row r="10" spans="1:24">
      <c r="A10" s="1">
        <v>40634</v>
      </c>
      <c r="B10" s="2"/>
      <c r="C10" s="3">
        <f>14+0</f>
        <v>14</v>
      </c>
      <c r="D10" s="6">
        <f>HDD!B17</f>
        <v>502</v>
      </c>
      <c r="Q10" s="51">
        <v>40665</v>
      </c>
      <c r="R10" s="51">
        <v>40694</v>
      </c>
      <c r="S10" s="52">
        <v>29</v>
      </c>
      <c r="T10" s="52">
        <v>3</v>
      </c>
      <c r="U10" s="51">
        <v>40665</v>
      </c>
      <c r="V10" s="51">
        <v>40694</v>
      </c>
      <c r="W10" s="52">
        <v>29</v>
      </c>
      <c r="X10" s="52">
        <v>0</v>
      </c>
    </row>
    <row r="11" spans="1:24">
      <c r="A11" s="1">
        <v>40664</v>
      </c>
      <c r="B11" s="2"/>
      <c r="C11" s="3">
        <f>3+0</f>
        <v>3</v>
      </c>
      <c r="D11" s="6">
        <f>HDD!B18</f>
        <v>268</v>
      </c>
      <c r="Q11" s="51">
        <v>40694</v>
      </c>
      <c r="R11" s="51">
        <v>40724</v>
      </c>
      <c r="S11" s="52">
        <v>30</v>
      </c>
      <c r="T11" s="52">
        <v>1</v>
      </c>
      <c r="U11" s="51">
        <v>40694</v>
      </c>
      <c r="V11" s="51">
        <v>40724</v>
      </c>
      <c r="W11" s="52">
        <v>30</v>
      </c>
      <c r="X11" s="52">
        <v>0</v>
      </c>
    </row>
    <row r="12" spans="1:24">
      <c r="A12" s="1">
        <v>40695</v>
      </c>
      <c r="B12" s="2"/>
      <c r="C12" s="3">
        <f>1+0</f>
        <v>1</v>
      </c>
      <c r="D12" s="6">
        <f>HDD!B19</f>
        <v>113</v>
      </c>
      <c r="Q12" s="51">
        <v>40724</v>
      </c>
      <c r="R12" s="51">
        <v>40756</v>
      </c>
      <c r="S12" s="52">
        <v>32</v>
      </c>
      <c r="T12" s="52">
        <v>0</v>
      </c>
      <c r="U12" s="51">
        <v>40724</v>
      </c>
      <c r="V12" s="51">
        <v>40756</v>
      </c>
      <c r="W12" s="52">
        <v>32</v>
      </c>
      <c r="X12" s="52">
        <v>0</v>
      </c>
    </row>
    <row r="13" spans="1:24">
      <c r="A13" s="1">
        <v>40735</v>
      </c>
      <c r="B13" s="6"/>
      <c r="C13" s="3">
        <f>0+0</f>
        <v>0</v>
      </c>
      <c r="D13" s="6">
        <f>HDD!B20</f>
        <v>20</v>
      </c>
      <c r="Q13" s="51">
        <v>40756</v>
      </c>
      <c r="R13" s="51">
        <v>40786</v>
      </c>
      <c r="S13" s="52">
        <v>30</v>
      </c>
      <c r="T13" s="52">
        <v>1</v>
      </c>
      <c r="U13" s="51">
        <v>40756</v>
      </c>
      <c r="V13" s="51">
        <v>40786</v>
      </c>
      <c r="W13" s="52">
        <v>30</v>
      </c>
      <c r="X13" s="52">
        <v>0</v>
      </c>
    </row>
    <row r="14" spans="1:24">
      <c r="A14" s="1">
        <v>40766</v>
      </c>
      <c r="B14" s="6"/>
      <c r="C14" s="3">
        <f>1+0</f>
        <v>1</v>
      </c>
      <c r="D14" s="6">
        <f>HDD!B21</f>
        <v>31</v>
      </c>
      <c r="Q14" s="51">
        <v>40786</v>
      </c>
      <c r="R14" s="51">
        <v>40815</v>
      </c>
      <c r="S14" s="52">
        <v>29</v>
      </c>
      <c r="T14" s="52">
        <v>0</v>
      </c>
      <c r="U14" s="51">
        <v>40786</v>
      </c>
      <c r="V14" s="51">
        <v>40815</v>
      </c>
      <c r="W14" s="52">
        <v>29</v>
      </c>
      <c r="X14" s="52">
        <v>0</v>
      </c>
    </row>
    <row r="15" spans="1:24">
      <c r="A15" s="1">
        <v>40797</v>
      </c>
      <c r="B15" s="6"/>
      <c r="C15" s="3">
        <f>0+0</f>
        <v>0</v>
      </c>
      <c r="D15" s="6">
        <f>HDD!B22</f>
        <v>108</v>
      </c>
      <c r="Q15" s="51">
        <v>40815</v>
      </c>
      <c r="R15" s="51">
        <v>40847</v>
      </c>
      <c r="S15" s="52">
        <v>32</v>
      </c>
      <c r="T15" s="52">
        <v>7</v>
      </c>
      <c r="U15" s="51">
        <v>40815</v>
      </c>
      <c r="V15" s="51">
        <v>40847</v>
      </c>
      <c r="W15" s="52">
        <v>32</v>
      </c>
      <c r="X15" s="52">
        <v>1</v>
      </c>
    </row>
    <row r="16" spans="1:24">
      <c r="A16" s="1">
        <v>40827</v>
      </c>
      <c r="B16" s="6"/>
      <c r="C16" s="3">
        <f>7+1</f>
        <v>8</v>
      </c>
      <c r="D16" s="6">
        <f>HDD!B23</f>
        <v>418</v>
      </c>
      <c r="Q16" s="51">
        <v>40847</v>
      </c>
      <c r="R16" s="51">
        <v>40879</v>
      </c>
      <c r="S16" s="52">
        <v>32</v>
      </c>
      <c r="T16" s="52">
        <v>13</v>
      </c>
      <c r="U16" s="51">
        <v>40847</v>
      </c>
      <c r="V16" s="51">
        <v>40879</v>
      </c>
      <c r="W16" s="52">
        <v>32</v>
      </c>
      <c r="X16" s="52">
        <v>0</v>
      </c>
    </row>
    <row r="17" spans="1:24">
      <c r="A17" s="1">
        <v>40858</v>
      </c>
      <c r="B17" s="6"/>
      <c r="C17" s="3">
        <f>13+0</f>
        <v>13</v>
      </c>
      <c r="D17" s="6">
        <f>HDD!B24</f>
        <v>563</v>
      </c>
      <c r="Q17" s="51">
        <v>40879</v>
      </c>
      <c r="R17" s="51">
        <v>40911</v>
      </c>
      <c r="S17" s="52">
        <v>32</v>
      </c>
      <c r="T17" s="52">
        <v>35</v>
      </c>
      <c r="U17" s="51">
        <v>40879</v>
      </c>
      <c r="V17" s="51">
        <v>40911</v>
      </c>
      <c r="W17" s="52">
        <v>32</v>
      </c>
      <c r="X17" s="52">
        <v>8</v>
      </c>
    </row>
    <row r="18" spans="1:24">
      <c r="A18" s="1">
        <v>40888</v>
      </c>
      <c r="B18" s="6"/>
      <c r="C18" s="3">
        <f>35+8</f>
        <v>43</v>
      </c>
      <c r="D18" s="6">
        <f>HDD!B25</f>
        <v>882</v>
      </c>
      <c r="Q18" s="51">
        <v>40911</v>
      </c>
      <c r="R18" s="51">
        <v>40939</v>
      </c>
      <c r="S18" s="52">
        <v>28</v>
      </c>
      <c r="T18" s="52">
        <v>41</v>
      </c>
      <c r="U18" s="51">
        <v>40911</v>
      </c>
      <c r="V18" s="51">
        <v>40939</v>
      </c>
      <c r="W18" s="52">
        <v>28</v>
      </c>
      <c r="X18" s="52">
        <v>14</v>
      </c>
    </row>
    <row r="19" spans="1:24">
      <c r="A19" s="1">
        <v>40920</v>
      </c>
      <c r="B19" s="6"/>
      <c r="C19" s="3">
        <f>41+14</f>
        <v>55</v>
      </c>
      <c r="D19" s="6">
        <f>HDD!B26</f>
        <v>1053</v>
      </c>
      <c r="Q19" s="51">
        <v>40939</v>
      </c>
      <c r="R19" s="51">
        <v>40968</v>
      </c>
      <c r="S19" s="52">
        <v>29</v>
      </c>
      <c r="T19" s="52">
        <v>34</v>
      </c>
      <c r="U19" s="51">
        <v>40939</v>
      </c>
      <c r="V19" s="51">
        <v>40968</v>
      </c>
      <c r="W19" s="52">
        <v>29</v>
      </c>
      <c r="X19" s="52">
        <v>10</v>
      </c>
    </row>
    <row r="20" spans="1:24">
      <c r="A20" s="1">
        <v>40940</v>
      </c>
      <c r="B20" s="6"/>
      <c r="C20" s="3">
        <f>34+10</f>
        <v>44</v>
      </c>
      <c r="D20" s="6">
        <f>HDD!B27</f>
        <v>895</v>
      </c>
      <c r="Q20" s="51">
        <v>40968</v>
      </c>
      <c r="R20" s="51">
        <v>40998</v>
      </c>
      <c r="S20" s="52">
        <v>30</v>
      </c>
      <c r="T20" s="52">
        <v>20</v>
      </c>
      <c r="U20" s="51">
        <v>40968</v>
      </c>
      <c r="V20" s="51">
        <v>40998</v>
      </c>
      <c r="W20" s="52">
        <v>30</v>
      </c>
      <c r="X20" s="52">
        <v>4</v>
      </c>
    </row>
    <row r="21" spans="1:24">
      <c r="A21" s="1">
        <v>40969</v>
      </c>
      <c r="B21" s="6"/>
      <c r="C21" s="3">
        <f>20+4</f>
        <v>24</v>
      </c>
      <c r="D21" s="6">
        <f>HDD!B28</f>
        <v>652</v>
      </c>
      <c r="Q21" s="51">
        <v>40998</v>
      </c>
      <c r="R21" s="51">
        <v>41030</v>
      </c>
      <c r="S21" s="52">
        <v>32</v>
      </c>
      <c r="T21" s="52">
        <v>9</v>
      </c>
      <c r="U21" s="51">
        <v>40998</v>
      </c>
      <c r="V21" s="51">
        <v>41030</v>
      </c>
      <c r="W21" s="52">
        <v>32</v>
      </c>
      <c r="X21" s="52">
        <v>1</v>
      </c>
    </row>
    <row r="22" spans="1:24">
      <c r="A22" s="1">
        <v>41000</v>
      </c>
      <c r="B22" s="6"/>
      <c r="C22" s="3">
        <f>9+1</f>
        <v>10</v>
      </c>
      <c r="D22" s="6">
        <f>HDD!B29</f>
        <v>463</v>
      </c>
      <c r="Q22" s="51">
        <v>41030</v>
      </c>
      <c r="R22" s="51">
        <v>41061</v>
      </c>
      <c r="S22" s="52">
        <v>31</v>
      </c>
      <c r="T22" s="52">
        <v>5</v>
      </c>
      <c r="U22" s="51">
        <v>41030</v>
      </c>
      <c r="V22" s="51">
        <v>41061</v>
      </c>
      <c r="W22" s="52">
        <v>31</v>
      </c>
      <c r="X22" s="52">
        <v>0</v>
      </c>
    </row>
    <row r="23" spans="1:24">
      <c r="A23" s="1">
        <v>41030</v>
      </c>
      <c r="B23" s="6"/>
      <c r="C23" s="3">
        <f>5+0</f>
        <v>5</v>
      </c>
      <c r="D23" s="6">
        <f>HDD!B30</f>
        <v>208</v>
      </c>
      <c r="Q23" s="51">
        <v>41061</v>
      </c>
      <c r="R23" s="51">
        <v>41089</v>
      </c>
      <c r="S23" s="52">
        <v>28</v>
      </c>
      <c r="T23" s="52">
        <v>1</v>
      </c>
      <c r="U23" s="51">
        <v>41061</v>
      </c>
      <c r="V23" s="51">
        <v>41089</v>
      </c>
      <c r="W23" s="52">
        <v>28</v>
      </c>
      <c r="X23" s="52">
        <v>0</v>
      </c>
    </row>
    <row r="24" spans="1:24">
      <c r="A24" s="1">
        <v>41061</v>
      </c>
      <c r="B24" s="6"/>
      <c r="C24" s="3">
        <f>1+0</f>
        <v>1</v>
      </c>
      <c r="D24" s="6">
        <f>HDD!B31</f>
        <v>121</v>
      </c>
      <c r="Q24" s="51">
        <v>41089</v>
      </c>
      <c r="R24" s="51">
        <v>41122</v>
      </c>
      <c r="S24" s="52">
        <v>33</v>
      </c>
      <c r="T24" s="52">
        <v>0</v>
      </c>
      <c r="U24" s="51">
        <v>41089</v>
      </c>
      <c r="V24" s="51">
        <v>41122</v>
      </c>
      <c r="W24" s="52">
        <v>33</v>
      </c>
      <c r="X24" s="52">
        <v>0</v>
      </c>
    </row>
    <row r="25" spans="1:24">
      <c r="A25" s="1">
        <v>41091</v>
      </c>
      <c r="B25" s="6"/>
      <c r="C25" s="3">
        <f>0+0</f>
        <v>0</v>
      </c>
      <c r="D25" s="6">
        <f>HDD!B32</f>
        <v>22</v>
      </c>
    </row>
    <row r="26" spans="1:24">
      <c r="A26" s="1">
        <v>41122</v>
      </c>
      <c r="B26" s="6"/>
      <c r="C26" s="3"/>
      <c r="D26" s="6">
        <f>HDD!B33</f>
        <v>0</v>
      </c>
    </row>
    <row r="27" spans="1:24">
      <c r="B27" s="6"/>
      <c r="D27" s="6">
        <f>HDD!B34</f>
        <v>0</v>
      </c>
    </row>
  </sheetData>
  <hyperlinks>
    <hyperlink ref="E2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0"/>
  <sheetViews>
    <sheetView workbookViewId="0">
      <selection activeCell="C29" sqref="C29"/>
    </sheetView>
  </sheetViews>
  <sheetFormatPr defaultRowHeight="15"/>
  <cols>
    <col min="2" max="2" width="9.85546875" customWidth="1"/>
    <col min="4" max="4" width="15.28515625" customWidth="1"/>
    <col min="5" max="5" width="11.42578125" customWidth="1"/>
  </cols>
  <sheetData>
    <row r="1" spans="1:9">
      <c r="B1" t="s">
        <v>6</v>
      </c>
    </row>
    <row r="2" spans="1:9">
      <c r="B2" s="19"/>
      <c r="C2" s="21" t="s">
        <v>2</v>
      </c>
    </row>
    <row r="3" spans="1:9">
      <c r="B3" s="19" t="s">
        <v>62</v>
      </c>
    </row>
    <row r="4" spans="1:9">
      <c r="B4" s="130" t="s">
        <v>40</v>
      </c>
      <c r="C4" s="130"/>
      <c r="E4" t="s">
        <v>7</v>
      </c>
      <c r="I4" s="19" t="s">
        <v>67</v>
      </c>
    </row>
    <row r="5" spans="1:9">
      <c r="B5">
        <v>118</v>
      </c>
      <c r="C5">
        <v>120</v>
      </c>
      <c r="D5" t="s">
        <v>8</v>
      </c>
      <c r="E5" t="s">
        <v>9</v>
      </c>
      <c r="F5" t="s">
        <v>4</v>
      </c>
      <c r="G5" t="s">
        <v>10</v>
      </c>
    </row>
    <row r="6" spans="1:9">
      <c r="A6" s="1" t="s">
        <v>41</v>
      </c>
      <c r="B6" s="19" t="s">
        <v>63</v>
      </c>
      <c r="C6" s="19" t="s">
        <v>63</v>
      </c>
      <c r="I6" s="19" t="s">
        <v>45</v>
      </c>
    </row>
    <row r="7" spans="1:9">
      <c r="A7" s="1">
        <v>40544</v>
      </c>
      <c r="B7" s="4">
        <v>468</v>
      </c>
      <c r="C7" s="5">
        <v>262</v>
      </c>
      <c r="D7">
        <f>B7+C7-E7</f>
        <v>1033</v>
      </c>
      <c r="E7" s="7">
        <v>-303</v>
      </c>
      <c r="F7">
        <f>HDD!B14</f>
        <v>1298</v>
      </c>
      <c r="G7">
        <f>CDD!B14</f>
        <v>0</v>
      </c>
    </row>
    <row r="8" spans="1:9">
      <c r="A8" s="1">
        <v>40575</v>
      </c>
      <c r="B8" s="4">
        <v>458</v>
      </c>
      <c r="C8" s="5">
        <v>109</v>
      </c>
      <c r="D8" s="19">
        <f t="shared" ref="D8:D26" si="0">B8+C8-E8</f>
        <v>943</v>
      </c>
      <c r="E8" s="7">
        <v>-376</v>
      </c>
      <c r="F8" s="11">
        <f>HDD!B15</f>
        <v>1070</v>
      </c>
      <c r="G8" s="11">
        <f>CDD!B15</f>
        <v>0</v>
      </c>
    </row>
    <row r="9" spans="1:9">
      <c r="A9" s="1">
        <v>40603</v>
      </c>
      <c r="B9" s="4">
        <v>457</v>
      </c>
      <c r="C9" s="5">
        <v>-150</v>
      </c>
      <c r="D9" s="19">
        <f t="shared" si="0"/>
        <v>897</v>
      </c>
      <c r="E9" s="7">
        <v>-590</v>
      </c>
      <c r="F9" s="11">
        <f>HDD!B16</f>
        <v>885</v>
      </c>
      <c r="G9" s="11">
        <f>CDD!B16</f>
        <v>0</v>
      </c>
    </row>
    <row r="10" spans="1:9">
      <c r="A10" s="1">
        <v>40634</v>
      </c>
      <c r="B10" s="4">
        <v>425</v>
      </c>
      <c r="C10" s="5">
        <v>-66</v>
      </c>
      <c r="D10" s="19">
        <f t="shared" si="0"/>
        <v>893</v>
      </c>
      <c r="E10" s="7">
        <v>-534</v>
      </c>
      <c r="F10" s="11">
        <f>HDD!B17</f>
        <v>502</v>
      </c>
      <c r="G10" s="11">
        <f>CDD!B17</f>
        <v>12</v>
      </c>
    </row>
    <row r="11" spans="1:9">
      <c r="A11" s="1">
        <v>40664</v>
      </c>
      <c r="B11" s="4">
        <v>382</v>
      </c>
      <c r="C11" s="5">
        <v>-132</v>
      </c>
      <c r="D11" s="19">
        <f t="shared" si="0"/>
        <v>835</v>
      </c>
      <c r="E11" s="7">
        <v>-585</v>
      </c>
      <c r="F11" s="11">
        <f>HDD!B18</f>
        <v>268</v>
      </c>
      <c r="G11" s="11">
        <f>CDD!B18</f>
        <v>63</v>
      </c>
    </row>
    <row r="12" spans="1:9">
      <c r="A12" s="1">
        <v>40695</v>
      </c>
      <c r="B12" s="4">
        <v>330</v>
      </c>
      <c r="C12" s="5">
        <v>-143</v>
      </c>
      <c r="D12" s="19">
        <f t="shared" si="0"/>
        <v>758</v>
      </c>
      <c r="E12" s="7">
        <v>-571</v>
      </c>
      <c r="F12" s="11">
        <f>HDD!B19</f>
        <v>113</v>
      </c>
      <c r="G12" s="11">
        <f>CDD!B19</f>
        <v>122</v>
      </c>
    </row>
    <row r="13" spans="1:9">
      <c r="A13" s="1">
        <v>40725</v>
      </c>
      <c r="B13" s="23">
        <v>185</v>
      </c>
      <c r="C13" s="23">
        <v>-18</v>
      </c>
      <c r="D13" s="19">
        <f t="shared" si="0"/>
        <v>933</v>
      </c>
      <c r="E13" s="23">
        <v>-766</v>
      </c>
      <c r="F13" s="19">
        <f>HDD!B20</f>
        <v>20</v>
      </c>
      <c r="G13" s="19">
        <f>CDD!B20</f>
        <v>309</v>
      </c>
    </row>
    <row r="14" spans="1:9">
      <c r="A14" s="1">
        <v>40756</v>
      </c>
      <c r="B14" s="23">
        <v>155</v>
      </c>
      <c r="C14" s="23">
        <v>-99</v>
      </c>
      <c r="D14" s="19">
        <f t="shared" si="0"/>
        <v>731</v>
      </c>
      <c r="E14" s="23">
        <v>-675</v>
      </c>
      <c r="F14" s="19">
        <f>HDD!B21</f>
        <v>31</v>
      </c>
      <c r="G14" s="19">
        <f>CDD!B21</f>
        <v>202</v>
      </c>
    </row>
    <row r="15" spans="1:9">
      <c r="A15" s="1">
        <v>40787</v>
      </c>
      <c r="B15" s="23">
        <v>227</v>
      </c>
      <c r="C15" s="23">
        <v>-28</v>
      </c>
      <c r="D15" s="19">
        <f t="shared" si="0"/>
        <v>682</v>
      </c>
      <c r="E15" s="23">
        <v>-483</v>
      </c>
      <c r="F15" s="19">
        <f>HDD!B22</f>
        <v>108</v>
      </c>
      <c r="G15" s="19">
        <f>CDD!B22</f>
        <v>105</v>
      </c>
    </row>
    <row r="16" spans="1:9">
      <c r="A16" s="1">
        <v>40817</v>
      </c>
      <c r="B16" s="23">
        <v>387</v>
      </c>
      <c r="C16" s="23">
        <v>-21</v>
      </c>
      <c r="D16" s="19">
        <f t="shared" si="0"/>
        <v>854</v>
      </c>
      <c r="E16" s="23">
        <v>-488</v>
      </c>
      <c r="F16" s="19">
        <f>HDD!B23</f>
        <v>418</v>
      </c>
      <c r="G16" s="19">
        <f>CDD!B23</f>
        <v>15</v>
      </c>
    </row>
    <row r="17" spans="1:21">
      <c r="A17" s="1">
        <v>40848</v>
      </c>
      <c r="B17" s="23">
        <v>442</v>
      </c>
      <c r="C17" s="23">
        <v>59</v>
      </c>
      <c r="D17" s="19">
        <f t="shared" si="0"/>
        <v>951</v>
      </c>
      <c r="E17" s="23">
        <v>-450</v>
      </c>
      <c r="F17" s="19">
        <f>HDD!B24</f>
        <v>563</v>
      </c>
      <c r="G17" s="19">
        <f>CDD!B24</f>
        <v>2</v>
      </c>
    </row>
    <row r="18" spans="1:21">
      <c r="A18" s="1">
        <v>40878</v>
      </c>
      <c r="B18" s="23">
        <v>494</v>
      </c>
      <c r="C18" s="23">
        <v>216</v>
      </c>
      <c r="D18" s="19">
        <f t="shared" si="0"/>
        <v>1092</v>
      </c>
      <c r="E18" s="23">
        <v>-382</v>
      </c>
      <c r="F18" s="19">
        <f>HDD!B25</f>
        <v>882</v>
      </c>
      <c r="G18" s="19">
        <f>CDD!B25</f>
        <v>0</v>
      </c>
    </row>
    <row r="19" spans="1:21">
      <c r="A19" s="1">
        <v>40909</v>
      </c>
      <c r="B19" s="23">
        <v>490</v>
      </c>
      <c r="C19" s="23">
        <v>181</v>
      </c>
      <c r="D19" s="19">
        <f t="shared" si="0"/>
        <v>1088</v>
      </c>
      <c r="E19" s="23">
        <v>-417</v>
      </c>
      <c r="F19" s="19">
        <f>HDD!B26</f>
        <v>1053</v>
      </c>
      <c r="G19" s="19">
        <f>CDD!B26</f>
        <v>0</v>
      </c>
    </row>
    <row r="20" spans="1:21">
      <c r="A20" s="1">
        <v>40940</v>
      </c>
      <c r="B20" s="23">
        <v>508</v>
      </c>
      <c r="C20" s="23">
        <v>-7</v>
      </c>
      <c r="D20" s="19">
        <f t="shared" si="0"/>
        <v>1037</v>
      </c>
      <c r="E20" s="23">
        <v>-536</v>
      </c>
      <c r="F20" s="19">
        <f>HDD!B27</f>
        <v>895</v>
      </c>
      <c r="G20" s="19">
        <f>CDD!B27</f>
        <v>0</v>
      </c>
    </row>
    <row r="21" spans="1:21">
      <c r="A21" s="1">
        <v>40969</v>
      </c>
      <c r="B21" s="23">
        <v>459</v>
      </c>
      <c r="C21" s="23">
        <v>-127</v>
      </c>
      <c r="D21" s="19">
        <f t="shared" si="0"/>
        <v>901</v>
      </c>
      <c r="E21" s="23">
        <v>-569</v>
      </c>
      <c r="F21" s="19">
        <f>HDD!B28</f>
        <v>652</v>
      </c>
      <c r="G21" s="19">
        <f>CDD!B28</f>
        <v>23</v>
      </c>
    </row>
    <row r="22" spans="1:21">
      <c r="A22" s="1">
        <v>41000</v>
      </c>
      <c r="B22" s="23">
        <v>359</v>
      </c>
      <c r="C22" s="23">
        <v>-150</v>
      </c>
      <c r="D22" s="19">
        <f t="shared" si="0"/>
        <v>789</v>
      </c>
      <c r="E22" s="23">
        <v>-580</v>
      </c>
      <c r="F22" s="19">
        <f>HDD!B29</f>
        <v>463</v>
      </c>
      <c r="G22" s="19">
        <f>CDD!B29</f>
        <v>26</v>
      </c>
    </row>
    <row r="23" spans="1:21">
      <c r="A23" s="1">
        <v>41030</v>
      </c>
      <c r="B23" s="23">
        <v>596</v>
      </c>
      <c r="C23" s="23">
        <v>-20</v>
      </c>
      <c r="D23" s="19">
        <f t="shared" si="0"/>
        <v>1253</v>
      </c>
      <c r="E23" s="23">
        <v>-677</v>
      </c>
      <c r="F23" s="19">
        <f>HDD!B30</f>
        <v>208</v>
      </c>
      <c r="G23" s="19">
        <f>CDD!B30</f>
        <v>60</v>
      </c>
    </row>
    <row r="24" spans="1:21">
      <c r="A24" s="1">
        <v>41061</v>
      </c>
      <c r="B24" s="23">
        <v>262</v>
      </c>
      <c r="C24" s="23">
        <v>-26</v>
      </c>
      <c r="D24" s="19">
        <f t="shared" si="0"/>
        <v>805</v>
      </c>
      <c r="E24" s="25">
        <v>-569</v>
      </c>
      <c r="F24" s="19">
        <f>HDD!B31</f>
        <v>121</v>
      </c>
      <c r="G24" s="19">
        <f>CDD!B31</f>
        <v>128</v>
      </c>
    </row>
    <row r="25" spans="1:21">
      <c r="A25" s="1">
        <v>41091</v>
      </c>
      <c r="B25" s="24">
        <v>236</v>
      </c>
      <c r="C25" s="24">
        <v>216</v>
      </c>
      <c r="D25" s="19">
        <f t="shared" si="0"/>
        <v>1232</v>
      </c>
      <c r="E25" s="24">
        <v>-780</v>
      </c>
      <c r="F25" s="19">
        <f>HDD!B32</f>
        <v>22</v>
      </c>
      <c r="G25" s="19">
        <f>CDD!B32</f>
        <v>291</v>
      </c>
    </row>
    <row r="26" spans="1:21">
      <c r="A26" s="1">
        <v>41122</v>
      </c>
      <c r="B26" s="22">
        <v>367</v>
      </c>
      <c r="C26" s="22">
        <v>-78</v>
      </c>
      <c r="D26" s="19">
        <f t="shared" si="0"/>
        <v>289</v>
      </c>
      <c r="E26" s="22"/>
    </row>
    <row r="27" spans="1:21">
      <c r="S27" s="19" t="s">
        <v>81</v>
      </c>
      <c r="U27" s="19" t="s">
        <v>83</v>
      </c>
    </row>
    <row r="28" spans="1:21">
      <c r="K28" s="19" t="s">
        <v>68</v>
      </c>
      <c r="S28" s="19" t="s">
        <v>80</v>
      </c>
      <c r="U28" s="19" t="s">
        <v>84</v>
      </c>
    </row>
    <row r="29" spans="1:21">
      <c r="K29">
        <v>118</v>
      </c>
      <c r="L29" s="19" t="s">
        <v>69</v>
      </c>
      <c r="M29">
        <v>120</v>
      </c>
      <c r="N29" s="19" t="s">
        <v>69</v>
      </c>
      <c r="O29" s="19" t="s">
        <v>70</v>
      </c>
      <c r="Q29" s="19" t="s">
        <v>83</v>
      </c>
      <c r="R29" s="19" t="s">
        <v>83</v>
      </c>
      <c r="S29" s="19" t="s">
        <v>82</v>
      </c>
      <c r="U29" s="19" t="s">
        <v>85</v>
      </c>
    </row>
    <row r="30" spans="1:21" s="19" customFormat="1">
      <c r="F30" s="19" t="s">
        <v>75</v>
      </c>
      <c r="K30" s="19">
        <v>489</v>
      </c>
      <c r="M30" s="19">
        <v>914</v>
      </c>
      <c r="Q30" s="19" t="s">
        <v>77</v>
      </c>
      <c r="R30" s="19" t="s">
        <v>76</v>
      </c>
    </row>
    <row r="31" spans="1:21">
      <c r="F31" s="19"/>
      <c r="G31" s="19" t="s">
        <v>71</v>
      </c>
      <c r="J31" s="1">
        <v>40544</v>
      </c>
      <c r="K31" s="19">
        <v>590</v>
      </c>
      <c r="L31">
        <f>K31-K30</f>
        <v>101</v>
      </c>
      <c r="M31">
        <v>1064</v>
      </c>
      <c r="N31">
        <f>M31-M30</f>
        <v>150</v>
      </c>
      <c r="O31">
        <f>L31+N31</f>
        <v>251</v>
      </c>
      <c r="Q31" s="28">
        <f>(O31*$G$34)*$G$33*$G$32/1000000</f>
        <v>1.0960728239999999</v>
      </c>
      <c r="R31" s="67">
        <f>Q31*$G$37</f>
        <v>321.14644711397597</v>
      </c>
      <c r="S31" s="19">
        <v>251</v>
      </c>
      <c r="U31" s="67">
        <f>R31-S31</f>
        <v>70.146447113975967</v>
      </c>
    </row>
    <row r="32" spans="1:21">
      <c r="F32" s="19" t="s">
        <v>72</v>
      </c>
      <c r="G32">
        <v>70</v>
      </c>
      <c r="J32" s="1">
        <v>40575</v>
      </c>
      <c r="K32">
        <v>709</v>
      </c>
      <c r="L32" s="19">
        <f t="shared" ref="L32:L50" si="1">K32-K31</f>
        <v>119</v>
      </c>
      <c r="M32">
        <v>1190</v>
      </c>
      <c r="N32" s="19">
        <f t="shared" ref="N32:N50" si="2">M32-M31</f>
        <v>126</v>
      </c>
      <c r="O32" s="19">
        <f t="shared" ref="O32:O50" si="3">L32+N32</f>
        <v>245</v>
      </c>
      <c r="Q32" s="28">
        <f t="shared" ref="Q32:Q50" si="4">(O32*$G$34)*$G$33*$G$32/1000000</f>
        <v>1.06987188</v>
      </c>
      <c r="R32" s="67">
        <f t="shared" ref="R32:R50" si="5">Q32*$G$37</f>
        <v>313.46963961324349</v>
      </c>
      <c r="S32" s="19">
        <v>251</v>
      </c>
      <c r="U32" s="67">
        <f t="shared" ref="U32:U50" si="6">R32-S32</f>
        <v>62.469639613243487</v>
      </c>
    </row>
    <row r="33" spans="6:21">
      <c r="F33" s="19" t="s">
        <v>73</v>
      </c>
      <c r="G33">
        <v>8.34</v>
      </c>
      <c r="J33" s="1">
        <v>40603</v>
      </c>
      <c r="K33">
        <v>845</v>
      </c>
      <c r="L33" s="19">
        <f t="shared" si="1"/>
        <v>136</v>
      </c>
      <c r="M33">
        <v>1299</v>
      </c>
      <c r="N33" s="19">
        <f t="shared" si="2"/>
        <v>109</v>
      </c>
      <c r="O33" s="19">
        <f t="shared" si="3"/>
        <v>245</v>
      </c>
      <c r="Q33" s="28">
        <f t="shared" si="4"/>
        <v>1.06987188</v>
      </c>
      <c r="R33" s="67">
        <f t="shared" si="5"/>
        <v>313.46963961324349</v>
      </c>
      <c r="S33" s="19">
        <v>114</v>
      </c>
      <c r="U33" s="67">
        <f t="shared" si="6"/>
        <v>199.46963961324349</v>
      </c>
    </row>
    <row r="34" spans="6:21">
      <c r="F34" s="19" t="s">
        <v>74</v>
      </c>
      <c r="G34">
        <v>7.48</v>
      </c>
      <c r="J34" s="1">
        <v>40634</v>
      </c>
      <c r="K34">
        <v>971</v>
      </c>
      <c r="L34" s="19">
        <f t="shared" si="1"/>
        <v>126</v>
      </c>
      <c r="M34">
        <v>1444</v>
      </c>
      <c r="N34" s="19">
        <f t="shared" si="2"/>
        <v>145</v>
      </c>
      <c r="O34" s="19">
        <f t="shared" si="3"/>
        <v>271</v>
      </c>
      <c r="Q34" s="28">
        <f t="shared" si="4"/>
        <v>1.183409304</v>
      </c>
      <c r="R34" s="67">
        <f t="shared" si="5"/>
        <v>346.73580544975101</v>
      </c>
      <c r="S34" s="19">
        <v>110</v>
      </c>
      <c r="U34" s="67">
        <f t="shared" si="6"/>
        <v>236.73580544975101</v>
      </c>
    </row>
    <row r="35" spans="6:21">
      <c r="J35" s="1">
        <v>40664</v>
      </c>
      <c r="K35">
        <v>1068</v>
      </c>
      <c r="L35" s="19">
        <f t="shared" si="1"/>
        <v>97</v>
      </c>
      <c r="M35">
        <v>1588</v>
      </c>
      <c r="N35" s="19">
        <f t="shared" si="2"/>
        <v>144</v>
      </c>
      <c r="O35" s="19">
        <f t="shared" si="3"/>
        <v>241</v>
      </c>
      <c r="Q35" s="28">
        <f t="shared" si="4"/>
        <v>1.052404584</v>
      </c>
      <c r="R35" s="67">
        <f t="shared" si="5"/>
        <v>308.3517679460885</v>
      </c>
      <c r="S35" s="19">
        <v>96</v>
      </c>
      <c r="U35" s="67">
        <f t="shared" si="6"/>
        <v>212.3517679460885</v>
      </c>
    </row>
    <row r="36" spans="6:21">
      <c r="F36" s="19" t="s">
        <v>78</v>
      </c>
      <c r="G36" s="19">
        <f>3413/1000000</f>
        <v>3.4129999999999998E-3</v>
      </c>
      <c r="J36" s="1">
        <v>40695</v>
      </c>
      <c r="K36">
        <v>1148</v>
      </c>
      <c r="L36" s="19">
        <f t="shared" si="1"/>
        <v>80</v>
      </c>
      <c r="M36">
        <v>1735</v>
      </c>
      <c r="N36" s="19">
        <f t="shared" si="2"/>
        <v>147</v>
      </c>
      <c r="O36" s="19">
        <f t="shared" si="3"/>
        <v>227</v>
      </c>
      <c r="Q36" s="28">
        <f t="shared" si="4"/>
        <v>0.99126904799999993</v>
      </c>
      <c r="R36" s="67">
        <f t="shared" si="5"/>
        <v>290.43921711104599</v>
      </c>
      <c r="S36" s="19">
        <v>59</v>
      </c>
      <c r="U36" s="67">
        <f t="shared" si="6"/>
        <v>231.43921711104599</v>
      </c>
    </row>
    <row r="37" spans="6:21">
      <c r="F37" s="19" t="s">
        <v>79</v>
      </c>
      <c r="G37" s="19">
        <f>1/G36</f>
        <v>292.99736302373282</v>
      </c>
      <c r="J37" s="1">
        <v>40725</v>
      </c>
      <c r="K37">
        <v>1176</v>
      </c>
      <c r="L37" s="19">
        <f t="shared" si="1"/>
        <v>28</v>
      </c>
      <c r="M37">
        <v>1872</v>
      </c>
      <c r="N37" s="19">
        <f t="shared" si="2"/>
        <v>137</v>
      </c>
      <c r="O37" s="19">
        <f t="shared" si="3"/>
        <v>165</v>
      </c>
      <c r="Q37" s="28">
        <f t="shared" si="4"/>
        <v>0.72052596000000013</v>
      </c>
      <c r="R37" s="67">
        <f t="shared" si="5"/>
        <v>211.11220627014362</v>
      </c>
      <c r="S37" s="19">
        <v>48</v>
      </c>
      <c r="U37" s="67">
        <f t="shared" si="6"/>
        <v>163.11220627014362</v>
      </c>
    </row>
    <row r="38" spans="6:21">
      <c r="J38" s="1">
        <v>40756</v>
      </c>
      <c r="K38">
        <v>1182</v>
      </c>
      <c r="L38" s="19">
        <f t="shared" si="1"/>
        <v>6</v>
      </c>
      <c r="M38">
        <v>1980</v>
      </c>
      <c r="N38" s="19">
        <f t="shared" si="2"/>
        <v>108</v>
      </c>
      <c r="O38" s="19">
        <f t="shared" si="3"/>
        <v>114</v>
      </c>
      <c r="Q38" s="28">
        <f t="shared" si="4"/>
        <v>0.49781793599999996</v>
      </c>
      <c r="R38" s="67">
        <f t="shared" si="5"/>
        <v>145.85934251391737</v>
      </c>
      <c r="S38" s="19">
        <v>10</v>
      </c>
      <c r="U38" s="67">
        <f t="shared" si="6"/>
        <v>135.85934251391737</v>
      </c>
    </row>
    <row r="39" spans="6:21">
      <c r="J39" s="1">
        <v>40787</v>
      </c>
      <c r="K39">
        <v>1235</v>
      </c>
      <c r="L39" s="19">
        <f t="shared" si="1"/>
        <v>53</v>
      </c>
      <c r="M39">
        <v>2073</v>
      </c>
      <c r="N39" s="19">
        <f t="shared" si="2"/>
        <v>93</v>
      </c>
      <c r="O39" s="19">
        <f t="shared" si="3"/>
        <v>146</v>
      </c>
      <c r="Q39" s="28">
        <f t="shared" si="4"/>
        <v>0.63755630399999996</v>
      </c>
      <c r="R39" s="67">
        <f t="shared" si="5"/>
        <v>186.80231585115735</v>
      </c>
      <c r="S39" s="19">
        <v>49</v>
      </c>
      <c r="U39" s="67">
        <f t="shared" si="6"/>
        <v>137.80231585115735</v>
      </c>
    </row>
    <row r="40" spans="6:21">
      <c r="J40" s="1">
        <v>40817</v>
      </c>
      <c r="K40">
        <v>1342</v>
      </c>
      <c r="L40" s="19">
        <f t="shared" si="1"/>
        <v>107</v>
      </c>
      <c r="M40">
        <v>2190</v>
      </c>
      <c r="N40" s="19">
        <f t="shared" si="2"/>
        <v>117</v>
      </c>
      <c r="O40" s="19">
        <f t="shared" si="3"/>
        <v>224</v>
      </c>
      <c r="Q40" s="28">
        <f t="shared" si="4"/>
        <v>0.97816857599999985</v>
      </c>
      <c r="R40" s="67">
        <f t="shared" si="5"/>
        <v>286.60081336067975</v>
      </c>
      <c r="S40" s="19">
        <v>59</v>
      </c>
      <c r="U40" s="67">
        <f t="shared" si="6"/>
        <v>227.60081336067975</v>
      </c>
    </row>
    <row r="41" spans="6:21">
      <c r="J41" s="1">
        <v>40848</v>
      </c>
      <c r="K41">
        <v>1476</v>
      </c>
      <c r="L41" s="19">
        <f t="shared" si="1"/>
        <v>134</v>
      </c>
      <c r="M41">
        <v>2315</v>
      </c>
      <c r="N41" s="19">
        <f t="shared" si="2"/>
        <v>125</v>
      </c>
      <c r="O41" s="19">
        <f t="shared" si="3"/>
        <v>259</v>
      </c>
      <c r="Q41" s="28">
        <f t="shared" si="4"/>
        <v>1.1310074160000001</v>
      </c>
      <c r="R41" s="67">
        <f t="shared" si="5"/>
        <v>331.38219044828605</v>
      </c>
      <c r="S41" s="19">
        <v>99</v>
      </c>
      <c r="U41" s="67">
        <f t="shared" si="6"/>
        <v>232.38219044828605</v>
      </c>
    </row>
    <row r="42" spans="6:21">
      <c r="J42" s="1">
        <v>40878</v>
      </c>
      <c r="K42">
        <v>1648</v>
      </c>
      <c r="L42" s="19">
        <f t="shared" si="1"/>
        <v>172</v>
      </c>
      <c r="M42">
        <v>2460</v>
      </c>
      <c r="N42" s="19">
        <f t="shared" si="2"/>
        <v>145</v>
      </c>
      <c r="O42" s="19">
        <f t="shared" si="3"/>
        <v>317</v>
      </c>
      <c r="Q42" s="28">
        <f t="shared" si="4"/>
        <v>1.384283208</v>
      </c>
      <c r="R42" s="67">
        <f t="shared" si="5"/>
        <v>405.59132962203347</v>
      </c>
      <c r="S42" s="19">
        <v>184</v>
      </c>
      <c r="U42" s="67">
        <f t="shared" si="6"/>
        <v>221.59132962203347</v>
      </c>
    </row>
    <row r="43" spans="6:21">
      <c r="J43" s="1">
        <v>40909</v>
      </c>
      <c r="K43">
        <v>1782</v>
      </c>
      <c r="L43" s="19">
        <f t="shared" si="1"/>
        <v>134</v>
      </c>
      <c r="M43">
        <v>2615</v>
      </c>
      <c r="N43" s="19">
        <f t="shared" si="2"/>
        <v>155</v>
      </c>
      <c r="O43" s="19">
        <f t="shared" si="3"/>
        <v>289</v>
      </c>
      <c r="Q43" s="28">
        <f t="shared" si="4"/>
        <v>1.2620121359999998</v>
      </c>
      <c r="R43" s="67">
        <f t="shared" si="5"/>
        <v>369.76622795194845</v>
      </c>
      <c r="S43" s="19">
        <v>176</v>
      </c>
      <c r="U43" s="67">
        <f t="shared" si="6"/>
        <v>193.76622795194845</v>
      </c>
    </row>
    <row r="44" spans="6:21">
      <c r="J44" s="1">
        <v>40940</v>
      </c>
      <c r="K44">
        <v>1934</v>
      </c>
      <c r="L44" s="19">
        <f t="shared" si="1"/>
        <v>152</v>
      </c>
      <c r="M44">
        <v>2748</v>
      </c>
      <c r="N44" s="19">
        <f t="shared" si="2"/>
        <v>133</v>
      </c>
      <c r="O44" s="19">
        <f t="shared" si="3"/>
        <v>285</v>
      </c>
      <c r="Q44" s="28">
        <f t="shared" si="4"/>
        <v>1.2445448399999999</v>
      </c>
      <c r="R44" s="67">
        <f t="shared" si="5"/>
        <v>364.64835628479346</v>
      </c>
      <c r="S44" s="19">
        <v>113</v>
      </c>
      <c r="U44" s="67">
        <f t="shared" si="6"/>
        <v>251.64835628479346</v>
      </c>
    </row>
    <row r="45" spans="6:21">
      <c r="J45" s="1">
        <v>40969</v>
      </c>
      <c r="K45">
        <v>2056</v>
      </c>
      <c r="L45" s="19">
        <f t="shared" si="1"/>
        <v>122</v>
      </c>
      <c r="M45">
        <v>2867</v>
      </c>
      <c r="N45" s="19">
        <f t="shared" si="2"/>
        <v>119</v>
      </c>
      <c r="O45" s="19">
        <f t="shared" si="3"/>
        <v>241</v>
      </c>
      <c r="Q45" s="28">
        <f t="shared" si="4"/>
        <v>1.052404584</v>
      </c>
      <c r="R45" s="67">
        <f t="shared" si="5"/>
        <v>308.3517679460885</v>
      </c>
      <c r="S45" s="19">
        <v>104</v>
      </c>
      <c r="U45" s="67">
        <f t="shared" si="6"/>
        <v>204.3517679460885</v>
      </c>
    </row>
    <row r="46" spans="6:21">
      <c r="J46" s="1">
        <v>41000</v>
      </c>
      <c r="K46">
        <v>2140</v>
      </c>
      <c r="L46" s="19">
        <f t="shared" si="1"/>
        <v>84</v>
      </c>
      <c r="M46">
        <v>2981</v>
      </c>
      <c r="N46" s="19">
        <f t="shared" si="2"/>
        <v>114</v>
      </c>
      <c r="O46" s="19">
        <f t="shared" si="3"/>
        <v>198</v>
      </c>
      <c r="Q46" s="28">
        <f t="shared" si="4"/>
        <v>0.86463115199999996</v>
      </c>
      <c r="R46" s="67">
        <f t="shared" si="5"/>
        <v>253.33464752417228</v>
      </c>
      <c r="S46" s="19">
        <v>46</v>
      </c>
      <c r="U46" s="67">
        <f t="shared" si="6"/>
        <v>207.33464752417228</v>
      </c>
    </row>
    <row r="47" spans="6:21">
      <c r="J47" s="1">
        <v>41030</v>
      </c>
      <c r="K47">
        <v>2307</v>
      </c>
      <c r="L47" s="19">
        <f t="shared" si="1"/>
        <v>167</v>
      </c>
      <c r="M47">
        <v>3167</v>
      </c>
      <c r="N47" s="19">
        <f t="shared" si="2"/>
        <v>186</v>
      </c>
      <c r="O47" s="19">
        <f t="shared" si="3"/>
        <v>353</v>
      </c>
      <c r="Q47" s="28">
        <f t="shared" si="4"/>
        <v>1.541488872</v>
      </c>
      <c r="R47" s="67">
        <f t="shared" si="5"/>
        <v>451.6521746264284</v>
      </c>
      <c r="S47" s="19">
        <v>111</v>
      </c>
      <c r="U47" s="67">
        <f t="shared" si="6"/>
        <v>340.6521746264284</v>
      </c>
    </row>
    <row r="48" spans="6:21">
      <c r="J48" s="1">
        <v>41061</v>
      </c>
      <c r="K48">
        <v>2347</v>
      </c>
      <c r="L48" s="19">
        <f t="shared" si="1"/>
        <v>40</v>
      </c>
      <c r="M48">
        <v>3299</v>
      </c>
      <c r="N48" s="19">
        <f t="shared" si="2"/>
        <v>132</v>
      </c>
      <c r="O48" s="19">
        <f t="shared" si="3"/>
        <v>172</v>
      </c>
      <c r="Q48" s="28">
        <f t="shared" si="4"/>
        <v>0.75109372799999996</v>
      </c>
      <c r="R48" s="67">
        <f t="shared" si="5"/>
        <v>220.06848168766481</v>
      </c>
      <c r="S48" s="19">
        <v>58</v>
      </c>
      <c r="U48" s="67">
        <f t="shared" si="6"/>
        <v>162.06848168766481</v>
      </c>
    </row>
    <row r="49" spans="10:21">
      <c r="J49" s="1">
        <v>41091</v>
      </c>
      <c r="K49">
        <v>2353</v>
      </c>
      <c r="L49" s="19">
        <f t="shared" si="1"/>
        <v>6</v>
      </c>
      <c r="M49">
        <v>3469</v>
      </c>
      <c r="N49" s="19">
        <f t="shared" si="2"/>
        <v>170</v>
      </c>
      <c r="O49" s="19">
        <f t="shared" si="3"/>
        <v>176</v>
      </c>
      <c r="Q49" s="28">
        <f t="shared" si="4"/>
        <v>0.76856102399999993</v>
      </c>
      <c r="R49" s="67">
        <f t="shared" si="5"/>
        <v>225.1863533548198</v>
      </c>
      <c r="S49" s="19">
        <v>29</v>
      </c>
      <c r="U49" s="67">
        <f t="shared" si="6"/>
        <v>196.1863533548198</v>
      </c>
    </row>
    <row r="50" spans="10:21">
      <c r="J50" s="1">
        <v>41122</v>
      </c>
      <c r="K50">
        <v>2408</v>
      </c>
      <c r="L50" s="19">
        <f t="shared" si="1"/>
        <v>55</v>
      </c>
      <c r="M50">
        <v>3564</v>
      </c>
      <c r="N50" s="19">
        <f t="shared" si="2"/>
        <v>95</v>
      </c>
      <c r="O50" s="19">
        <f t="shared" si="3"/>
        <v>150</v>
      </c>
      <c r="Q50" s="28">
        <f t="shared" si="4"/>
        <v>0.65502359999999993</v>
      </c>
      <c r="R50" s="67">
        <f t="shared" si="5"/>
        <v>191.92018751831233</v>
      </c>
      <c r="S50" s="19">
        <v>26</v>
      </c>
      <c r="U50" s="67">
        <f t="shared" si="6"/>
        <v>165.92018751831233</v>
      </c>
    </row>
  </sheetData>
  <mergeCells count="1">
    <mergeCell ref="B4:C4"/>
  </mergeCells>
  <hyperlinks>
    <hyperlink ref="C2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3"/>
  <sheetViews>
    <sheetView tabSelected="1" topLeftCell="A6" workbookViewId="0">
      <selection activeCell="D31" sqref="D31"/>
    </sheetView>
  </sheetViews>
  <sheetFormatPr defaultRowHeight="15"/>
  <cols>
    <col min="1" max="13" width="9.140625" style="19"/>
    <col min="14" max="14" width="9.5703125" style="19" bestFit="1" customWidth="1"/>
    <col min="15" max="15" width="9.5703125" style="19" customWidth="1"/>
    <col min="16" max="16384" width="9.140625" style="19"/>
  </cols>
  <sheetData>
    <row r="1" spans="1:30">
      <c r="C1" s="19" t="s">
        <v>32</v>
      </c>
      <c r="E1" s="28">
        <f>1/E3</f>
        <v>292.99736302373282</v>
      </c>
    </row>
    <row r="2" spans="1:30">
      <c r="C2" s="19" t="s">
        <v>29</v>
      </c>
      <c r="E2" s="26">
        <f>100000/1000000</f>
        <v>0.1</v>
      </c>
    </row>
    <row r="3" spans="1:30">
      <c r="C3" s="19" t="s">
        <v>28</v>
      </c>
      <c r="E3" s="19">
        <f>3413/1000000</f>
        <v>3.4129999999999998E-3</v>
      </c>
    </row>
    <row r="4" spans="1:30">
      <c r="B4" s="19" t="s">
        <v>31</v>
      </c>
      <c r="E4" s="19">
        <v>3.34</v>
      </c>
    </row>
    <row r="5" spans="1:30">
      <c r="B5" s="19" t="s">
        <v>30</v>
      </c>
      <c r="E5" s="19">
        <v>1.0469999999999999</v>
      </c>
    </row>
    <row r="6" spans="1:30">
      <c r="Y6" s="19" t="s">
        <v>35</v>
      </c>
      <c r="AB6" s="19" t="s">
        <v>38</v>
      </c>
    </row>
    <row r="7" spans="1:30">
      <c r="B7" s="19" t="s">
        <v>21</v>
      </c>
      <c r="K7" s="130" t="s">
        <v>5</v>
      </c>
      <c r="L7" s="130"/>
      <c r="M7" s="19" t="s">
        <v>33</v>
      </c>
      <c r="Q7" s="19" t="s">
        <v>34</v>
      </c>
      <c r="S7" s="19" t="s">
        <v>25</v>
      </c>
      <c r="T7" s="19" t="s">
        <v>26</v>
      </c>
    </row>
    <row r="8" spans="1:30" ht="90">
      <c r="A8" s="126"/>
      <c r="B8" s="126"/>
      <c r="C8" s="126" t="s">
        <v>3</v>
      </c>
      <c r="D8" s="126" t="s">
        <v>25</v>
      </c>
      <c r="E8" s="126" t="s">
        <v>26</v>
      </c>
      <c r="F8" s="126"/>
      <c r="G8" s="126" t="s">
        <v>24</v>
      </c>
      <c r="H8" s="126" t="s">
        <v>27</v>
      </c>
      <c r="I8" s="126"/>
      <c r="J8" s="126"/>
      <c r="K8" s="126">
        <v>118</v>
      </c>
      <c r="L8" s="126">
        <v>120</v>
      </c>
      <c r="M8" s="126" t="s">
        <v>8</v>
      </c>
      <c r="N8" s="126" t="s">
        <v>9</v>
      </c>
      <c r="O8" s="126" t="s">
        <v>106</v>
      </c>
      <c r="P8" s="126" t="s">
        <v>107</v>
      </c>
      <c r="Q8" s="126"/>
      <c r="R8" s="127" t="s">
        <v>64</v>
      </c>
      <c r="S8" s="126"/>
      <c r="T8" s="126"/>
      <c r="U8" s="126" t="s">
        <v>105</v>
      </c>
      <c r="V8" s="126" t="s">
        <v>4</v>
      </c>
      <c r="W8" s="126" t="s">
        <v>10</v>
      </c>
      <c r="X8" s="126"/>
      <c r="Y8" s="126" t="s">
        <v>36</v>
      </c>
      <c r="Z8" s="126" t="s">
        <v>37</v>
      </c>
      <c r="AA8" s="127" t="s">
        <v>64</v>
      </c>
      <c r="AB8" s="126" t="s">
        <v>36</v>
      </c>
      <c r="AC8" s="126" t="s">
        <v>37</v>
      </c>
      <c r="AD8" s="128" t="s">
        <v>64</v>
      </c>
    </row>
    <row r="9" spans="1:30">
      <c r="J9" s="1"/>
      <c r="R9" s="54"/>
      <c r="AA9" s="54"/>
      <c r="AD9" s="54"/>
    </row>
    <row r="10" spans="1:30">
      <c r="B10" s="1">
        <v>40544</v>
      </c>
      <c r="C10" s="3">
        <f>Gas!C7</f>
        <v>75</v>
      </c>
      <c r="D10" s="27">
        <f>C10*E$2</f>
        <v>7.5</v>
      </c>
      <c r="E10" s="28">
        <f t="shared" ref="E10:E30" si="0">D10*E$5</f>
        <v>7.8524999999999991</v>
      </c>
      <c r="G10" s="28">
        <f t="shared" ref="G10:G28" si="1">D10*E$1</f>
        <v>2197.4802226779962</v>
      </c>
      <c r="H10" s="28">
        <f t="shared" ref="H10:H28" si="2">E10*E$1</f>
        <v>2300.7617931438617</v>
      </c>
      <c r="I10" s="28"/>
      <c r="J10" s="1">
        <v>40544</v>
      </c>
      <c r="K10" s="6">
        <f>Elec!B7</f>
        <v>468</v>
      </c>
      <c r="L10" s="6">
        <f>Elec!C7</f>
        <v>262</v>
      </c>
      <c r="M10" s="19">
        <f>SUM(K10+L10)+N10</f>
        <v>1033</v>
      </c>
      <c r="N10" s="6">
        <f>-(Elec!E7)</f>
        <v>303</v>
      </c>
      <c r="O10" s="39">
        <f>SUM(K10:L10)</f>
        <v>730</v>
      </c>
      <c r="P10" s="19">
        <f>O10*$E$4</f>
        <v>2438.1999999999998</v>
      </c>
      <c r="Q10" s="19">
        <f>((M10-N10)*E$4)+N10</f>
        <v>2741.2</v>
      </c>
      <c r="R10" s="54">
        <f>M10*E$4</f>
        <v>3450.22</v>
      </c>
      <c r="S10" s="28">
        <f>M10*E$3</f>
        <v>3.5256289999999999</v>
      </c>
      <c r="T10" s="28">
        <f>((M10-N10)*E$4+N10)*E$3</f>
        <v>9.3557155999999981</v>
      </c>
      <c r="U10" s="28">
        <f>R10*$E$3</f>
        <v>11.775600859999999</v>
      </c>
      <c r="V10" s="19">
        <f>HDD!B14</f>
        <v>1298</v>
      </c>
      <c r="W10" s="19">
        <f>CDD!B14</f>
        <v>0</v>
      </c>
      <c r="Y10" s="44">
        <f>G10+M10</f>
        <v>3230.4802226779962</v>
      </c>
      <c r="Z10" s="45">
        <f>H10+Q10</f>
        <v>5041.9617931438615</v>
      </c>
      <c r="AA10" s="56">
        <f>H10+R10</f>
        <v>5750.9817931438611</v>
      </c>
      <c r="AB10" s="45">
        <f t="shared" ref="AB10:AB30" si="3">D10+S10</f>
        <v>11.025629</v>
      </c>
      <c r="AC10" s="45">
        <f t="shared" ref="AC10:AC29" si="4">E10+T10</f>
        <v>17.208215599999996</v>
      </c>
      <c r="AD10" s="56">
        <f>AA10*E$3</f>
        <v>19.628100859999996</v>
      </c>
    </row>
    <row r="11" spans="1:30">
      <c r="B11" s="1">
        <v>40575</v>
      </c>
      <c r="C11" s="3">
        <f>Gas!C8</f>
        <v>62</v>
      </c>
      <c r="D11" s="27">
        <f t="shared" ref="D11:D28" si="5">C11*E$2</f>
        <v>6.2</v>
      </c>
      <c r="E11" s="28">
        <f t="shared" si="0"/>
        <v>6.4913999999999996</v>
      </c>
      <c r="G11" s="28">
        <f t="shared" si="1"/>
        <v>1816.5836507471436</v>
      </c>
      <c r="H11" s="28">
        <f t="shared" si="2"/>
        <v>1901.9630823322591</v>
      </c>
      <c r="I11" s="28"/>
      <c r="J11" s="1">
        <v>40575</v>
      </c>
      <c r="K11" s="6">
        <f>Elec!B8</f>
        <v>458</v>
      </c>
      <c r="L11" s="6">
        <f>Elec!C8</f>
        <v>109</v>
      </c>
      <c r="M11" s="19">
        <f t="shared" ref="M11:M28" si="6">SUM(K11+L11)+N11</f>
        <v>943</v>
      </c>
      <c r="N11" s="6">
        <f>-(Elec!E8)</f>
        <v>376</v>
      </c>
      <c r="O11" s="39">
        <f t="shared" ref="O11:O28" si="7">SUM(K11:L11)</f>
        <v>567</v>
      </c>
      <c r="P11" s="19">
        <f t="shared" ref="P11:P30" si="8">O11*$E$4</f>
        <v>1893.78</v>
      </c>
      <c r="Q11" s="19">
        <f t="shared" ref="Q11:Q28" si="9">((M11-N11)*E$4)+N11</f>
        <v>2269.7799999999997</v>
      </c>
      <c r="R11" s="54">
        <f t="shared" ref="R11:R28" si="10">M11*E$4</f>
        <v>3149.62</v>
      </c>
      <c r="S11" s="28">
        <f t="shared" ref="S11:S28" si="11">M11*E$3</f>
        <v>3.2184589999999997</v>
      </c>
      <c r="T11" s="28">
        <f t="shared" ref="T11:T28" si="12">((M11-N11)*E$4+N11)*E$3</f>
        <v>7.7467591399999991</v>
      </c>
      <c r="U11" s="28">
        <f t="shared" ref="U11:U28" si="13">R11*$E$3</f>
        <v>10.749653059999998</v>
      </c>
      <c r="V11" s="19">
        <f>HDD!B15</f>
        <v>1070</v>
      </c>
      <c r="W11" s="19">
        <f>CDD!B15</f>
        <v>0</v>
      </c>
      <c r="Y11" s="46">
        <f t="shared" ref="Y11:Y28" si="14">G11+M11</f>
        <v>2759.5836507471436</v>
      </c>
      <c r="Z11" s="42">
        <f t="shared" ref="Z11:Z28" si="15">H11+Q11</f>
        <v>4171.7430823322593</v>
      </c>
      <c r="AA11" s="56">
        <f t="shared" ref="AA11:AA28" si="16">H11+R11</f>
        <v>5051.5830823322594</v>
      </c>
      <c r="AB11" s="42">
        <f t="shared" si="3"/>
        <v>9.4184590000000004</v>
      </c>
      <c r="AC11" s="42">
        <f t="shared" si="4"/>
        <v>14.238159139999999</v>
      </c>
      <c r="AD11" s="56">
        <f t="shared" ref="AD11:AD28" si="17">AA11*E$3</f>
        <v>17.241053059999999</v>
      </c>
    </row>
    <row r="12" spans="1:30">
      <c r="B12" s="1">
        <v>40603</v>
      </c>
      <c r="C12" s="3">
        <f>Gas!C9</f>
        <v>34</v>
      </c>
      <c r="D12" s="27">
        <f t="shared" si="5"/>
        <v>3.4000000000000004</v>
      </c>
      <c r="E12" s="28">
        <f t="shared" si="0"/>
        <v>3.5598000000000001</v>
      </c>
      <c r="G12" s="28">
        <f t="shared" si="1"/>
        <v>996.19103428069172</v>
      </c>
      <c r="H12" s="28">
        <f t="shared" si="2"/>
        <v>1043.0120128918841</v>
      </c>
      <c r="I12" s="28"/>
      <c r="J12" s="1">
        <v>40603</v>
      </c>
      <c r="K12" s="6">
        <f>Elec!B9</f>
        <v>457</v>
      </c>
      <c r="L12" s="6">
        <f>Elec!C9</f>
        <v>-150</v>
      </c>
      <c r="M12" s="19">
        <f t="shared" si="6"/>
        <v>897</v>
      </c>
      <c r="N12" s="6">
        <f>-(Elec!E9)</f>
        <v>590</v>
      </c>
      <c r="O12" s="39">
        <f t="shared" si="7"/>
        <v>307</v>
      </c>
      <c r="P12" s="19">
        <f t="shared" si="8"/>
        <v>1025.3799999999999</v>
      </c>
      <c r="Q12" s="19">
        <f t="shared" si="9"/>
        <v>1615.3799999999999</v>
      </c>
      <c r="R12" s="54">
        <f t="shared" si="10"/>
        <v>2995.98</v>
      </c>
      <c r="S12" s="28">
        <f t="shared" si="11"/>
        <v>3.061461</v>
      </c>
      <c r="T12" s="28">
        <f t="shared" si="12"/>
        <v>5.5132919399999993</v>
      </c>
      <c r="U12" s="28">
        <f t="shared" si="13"/>
        <v>10.22527974</v>
      </c>
      <c r="V12" s="19">
        <f>HDD!B16</f>
        <v>885</v>
      </c>
      <c r="W12" s="19">
        <f>CDD!B16</f>
        <v>0</v>
      </c>
      <c r="Y12" s="46">
        <f t="shared" si="14"/>
        <v>1893.1910342806918</v>
      </c>
      <c r="Z12" s="42">
        <f t="shared" si="15"/>
        <v>2658.392012891884</v>
      </c>
      <c r="AA12" s="56">
        <f t="shared" si="16"/>
        <v>4038.9920128918839</v>
      </c>
      <c r="AB12" s="42">
        <f t="shared" si="3"/>
        <v>6.4614609999999999</v>
      </c>
      <c r="AC12" s="42">
        <f t="shared" si="4"/>
        <v>9.0730919399999994</v>
      </c>
      <c r="AD12" s="56">
        <f t="shared" si="17"/>
        <v>13.785079739999999</v>
      </c>
    </row>
    <row r="13" spans="1:30">
      <c r="B13" s="1">
        <v>40634</v>
      </c>
      <c r="C13" s="3">
        <f>Gas!C10</f>
        <v>14</v>
      </c>
      <c r="D13" s="27">
        <f t="shared" si="5"/>
        <v>1.4000000000000001</v>
      </c>
      <c r="E13" s="28">
        <f t="shared" si="0"/>
        <v>1.4658</v>
      </c>
      <c r="G13" s="28">
        <f t="shared" si="1"/>
        <v>410.19630823322598</v>
      </c>
      <c r="H13" s="28">
        <f t="shared" si="2"/>
        <v>429.47553472018757</v>
      </c>
      <c r="I13" s="28"/>
      <c r="J13" s="1">
        <v>40634</v>
      </c>
      <c r="K13" s="6">
        <f>Elec!B10</f>
        <v>425</v>
      </c>
      <c r="L13" s="6">
        <f>Elec!C10</f>
        <v>-66</v>
      </c>
      <c r="M13" s="19">
        <f t="shared" si="6"/>
        <v>893</v>
      </c>
      <c r="N13" s="6">
        <f>-(Elec!E10)</f>
        <v>534</v>
      </c>
      <c r="O13" s="39">
        <f t="shared" si="7"/>
        <v>359</v>
      </c>
      <c r="P13" s="19">
        <f t="shared" si="8"/>
        <v>1199.06</v>
      </c>
      <c r="Q13" s="19">
        <f t="shared" si="9"/>
        <v>1733.06</v>
      </c>
      <c r="R13" s="54">
        <f t="shared" si="10"/>
        <v>2982.62</v>
      </c>
      <c r="S13" s="28">
        <f t="shared" si="11"/>
        <v>3.047809</v>
      </c>
      <c r="T13" s="28">
        <f t="shared" si="12"/>
        <v>5.9149337799999993</v>
      </c>
      <c r="U13" s="28">
        <f t="shared" si="13"/>
        <v>10.179682059999999</v>
      </c>
      <c r="V13" s="19">
        <f>HDD!B17</f>
        <v>502</v>
      </c>
      <c r="W13" s="19">
        <f>CDD!B17</f>
        <v>12</v>
      </c>
      <c r="Y13" s="46">
        <f t="shared" si="14"/>
        <v>1303.1963082332259</v>
      </c>
      <c r="Z13" s="42">
        <f t="shared" si="15"/>
        <v>2162.5355347201876</v>
      </c>
      <c r="AA13" s="56">
        <f t="shared" si="16"/>
        <v>3412.0955347201875</v>
      </c>
      <c r="AB13" s="42">
        <f t="shared" si="3"/>
        <v>4.4478090000000003</v>
      </c>
      <c r="AC13" s="42">
        <f t="shared" si="4"/>
        <v>7.380733779999999</v>
      </c>
      <c r="AD13" s="56">
        <f t="shared" si="17"/>
        <v>11.645482059999999</v>
      </c>
    </row>
    <row r="14" spans="1:30">
      <c r="B14" s="1">
        <v>40664</v>
      </c>
      <c r="C14" s="3">
        <f>Gas!C11</f>
        <v>3</v>
      </c>
      <c r="D14" s="27">
        <f t="shared" si="5"/>
        <v>0.30000000000000004</v>
      </c>
      <c r="E14" s="28">
        <f t="shared" si="0"/>
        <v>0.31410000000000005</v>
      </c>
      <c r="G14" s="28">
        <f t="shared" si="1"/>
        <v>87.899208907119856</v>
      </c>
      <c r="H14" s="28">
        <f t="shared" si="2"/>
        <v>92.030471725754495</v>
      </c>
      <c r="I14" s="28"/>
      <c r="J14" s="1">
        <v>40664</v>
      </c>
      <c r="K14" s="6">
        <f>Elec!B11</f>
        <v>382</v>
      </c>
      <c r="L14" s="6">
        <f>Elec!C11</f>
        <v>-132</v>
      </c>
      <c r="M14" s="19">
        <f t="shared" si="6"/>
        <v>835</v>
      </c>
      <c r="N14" s="6">
        <f>-(Elec!E11)</f>
        <v>585</v>
      </c>
      <c r="O14" s="39">
        <f t="shared" si="7"/>
        <v>250</v>
      </c>
      <c r="P14" s="19">
        <f t="shared" si="8"/>
        <v>835</v>
      </c>
      <c r="Q14" s="19">
        <f t="shared" si="9"/>
        <v>1420</v>
      </c>
      <c r="R14" s="54">
        <f t="shared" si="10"/>
        <v>2788.9</v>
      </c>
      <c r="S14" s="28">
        <f t="shared" si="11"/>
        <v>2.8498549999999998</v>
      </c>
      <c r="T14" s="28">
        <f t="shared" si="12"/>
        <v>4.8464599999999995</v>
      </c>
      <c r="U14" s="28">
        <f t="shared" si="13"/>
        <v>9.5185157</v>
      </c>
      <c r="V14" s="19">
        <f>HDD!B18</f>
        <v>268</v>
      </c>
      <c r="W14" s="19">
        <f>CDD!B18</f>
        <v>63</v>
      </c>
      <c r="Y14" s="46">
        <f t="shared" si="14"/>
        <v>922.89920890711983</v>
      </c>
      <c r="Z14" s="42">
        <f t="shared" si="15"/>
        <v>1512.0304717257545</v>
      </c>
      <c r="AA14" s="56">
        <f t="shared" si="16"/>
        <v>2880.9304717257546</v>
      </c>
      <c r="AB14" s="42">
        <f t="shared" si="3"/>
        <v>3.1498549999999996</v>
      </c>
      <c r="AC14" s="42">
        <f t="shared" si="4"/>
        <v>5.1605599999999994</v>
      </c>
      <c r="AD14" s="56">
        <f t="shared" si="17"/>
        <v>9.8326156999999998</v>
      </c>
    </row>
    <row r="15" spans="1:30">
      <c r="B15" s="1">
        <v>40695</v>
      </c>
      <c r="C15" s="3">
        <f>Gas!C12</f>
        <v>1</v>
      </c>
      <c r="D15" s="27">
        <f t="shared" si="5"/>
        <v>0.1</v>
      </c>
      <c r="E15" s="28">
        <f t="shared" si="0"/>
        <v>0.1047</v>
      </c>
      <c r="G15" s="28">
        <f t="shared" si="1"/>
        <v>29.299736302373283</v>
      </c>
      <c r="H15" s="28">
        <f t="shared" si="2"/>
        <v>30.676823908584826</v>
      </c>
      <c r="I15" s="28"/>
      <c r="J15" s="1">
        <v>40695</v>
      </c>
      <c r="K15" s="6">
        <f>Elec!B12</f>
        <v>330</v>
      </c>
      <c r="L15" s="6">
        <f>Elec!C12</f>
        <v>-143</v>
      </c>
      <c r="M15" s="19">
        <f t="shared" si="6"/>
        <v>758</v>
      </c>
      <c r="N15" s="6">
        <f>-(Elec!E12)</f>
        <v>571</v>
      </c>
      <c r="O15" s="39">
        <f t="shared" si="7"/>
        <v>187</v>
      </c>
      <c r="P15" s="19">
        <f t="shared" si="8"/>
        <v>624.57999999999993</v>
      </c>
      <c r="Q15" s="19">
        <f t="shared" si="9"/>
        <v>1195.58</v>
      </c>
      <c r="R15" s="54">
        <f t="shared" si="10"/>
        <v>2531.7199999999998</v>
      </c>
      <c r="S15" s="28">
        <f t="shared" si="11"/>
        <v>2.5870539999999997</v>
      </c>
      <c r="T15" s="28">
        <f t="shared" si="12"/>
        <v>4.0805145399999994</v>
      </c>
      <c r="U15" s="28">
        <f t="shared" si="13"/>
        <v>8.640760359999998</v>
      </c>
      <c r="V15" s="19">
        <f>HDD!B19</f>
        <v>113</v>
      </c>
      <c r="W15" s="19">
        <f>CDD!B19</f>
        <v>122</v>
      </c>
      <c r="Y15" s="46">
        <f t="shared" si="14"/>
        <v>787.29973630237328</v>
      </c>
      <c r="Z15" s="42">
        <f t="shared" si="15"/>
        <v>1226.2568239085847</v>
      </c>
      <c r="AA15" s="56">
        <f t="shared" si="16"/>
        <v>2562.3968239085848</v>
      </c>
      <c r="AB15" s="42">
        <f t="shared" si="3"/>
        <v>2.6870539999999998</v>
      </c>
      <c r="AC15" s="42">
        <f t="shared" si="4"/>
        <v>4.1852145399999996</v>
      </c>
      <c r="AD15" s="56">
        <f t="shared" si="17"/>
        <v>8.7454603599999992</v>
      </c>
    </row>
    <row r="16" spans="1:30">
      <c r="B16" s="1">
        <v>40735</v>
      </c>
      <c r="C16" s="3">
        <f>Gas!C13</f>
        <v>0</v>
      </c>
      <c r="D16" s="27">
        <f t="shared" si="5"/>
        <v>0</v>
      </c>
      <c r="E16" s="28">
        <f t="shared" si="0"/>
        <v>0</v>
      </c>
      <c r="G16" s="28">
        <f t="shared" si="1"/>
        <v>0</v>
      </c>
      <c r="H16" s="28">
        <f t="shared" si="2"/>
        <v>0</v>
      </c>
      <c r="I16" s="28"/>
      <c r="J16" s="1">
        <v>40725</v>
      </c>
      <c r="K16" s="6">
        <f>Elec!B13</f>
        <v>185</v>
      </c>
      <c r="L16" s="6">
        <f>Elec!C13</f>
        <v>-18</v>
      </c>
      <c r="M16" s="19">
        <f t="shared" si="6"/>
        <v>933</v>
      </c>
      <c r="N16" s="6">
        <f>-(Elec!E13)</f>
        <v>766</v>
      </c>
      <c r="O16" s="39">
        <f t="shared" si="7"/>
        <v>167</v>
      </c>
      <c r="P16" s="19">
        <f t="shared" si="8"/>
        <v>557.78</v>
      </c>
      <c r="Q16" s="19">
        <f t="shared" si="9"/>
        <v>1323.78</v>
      </c>
      <c r="R16" s="54">
        <f t="shared" si="10"/>
        <v>3116.22</v>
      </c>
      <c r="S16" s="28">
        <f t="shared" si="11"/>
        <v>3.184329</v>
      </c>
      <c r="T16" s="28">
        <f t="shared" si="12"/>
        <v>4.5180611399999995</v>
      </c>
      <c r="U16" s="28">
        <f t="shared" si="13"/>
        <v>10.635658859999999</v>
      </c>
      <c r="V16" s="19">
        <f>HDD!B20</f>
        <v>20</v>
      </c>
      <c r="W16" s="19">
        <f>CDD!B20</f>
        <v>309</v>
      </c>
      <c r="Y16" s="46">
        <f t="shared" si="14"/>
        <v>933</v>
      </c>
      <c r="Z16" s="42">
        <f t="shared" si="15"/>
        <v>1323.78</v>
      </c>
      <c r="AA16" s="56">
        <f t="shared" si="16"/>
        <v>3116.22</v>
      </c>
      <c r="AB16" s="42">
        <f t="shared" si="3"/>
        <v>3.184329</v>
      </c>
      <c r="AC16" s="42">
        <f t="shared" si="4"/>
        <v>4.5180611399999995</v>
      </c>
      <c r="AD16" s="56">
        <f t="shared" si="17"/>
        <v>10.635658859999999</v>
      </c>
    </row>
    <row r="17" spans="2:30">
      <c r="B17" s="1">
        <v>40766</v>
      </c>
      <c r="C17" s="3">
        <f>Gas!C14</f>
        <v>1</v>
      </c>
      <c r="D17" s="27">
        <f t="shared" si="5"/>
        <v>0.1</v>
      </c>
      <c r="E17" s="28">
        <f t="shared" si="0"/>
        <v>0.1047</v>
      </c>
      <c r="G17" s="28">
        <f t="shared" si="1"/>
        <v>29.299736302373283</v>
      </c>
      <c r="H17" s="28">
        <f t="shared" si="2"/>
        <v>30.676823908584826</v>
      </c>
      <c r="I17" s="28"/>
      <c r="J17" s="1">
        <v>40756</v>
      </c>
      <c r="K17" s="6">
        <f>Elec!B14</f>
        <v>155</v>
      </c>
      <c r="L17" s="6">
        <f>Elec!C14</f>
        <v>-99</v>
      </c>
      <c r="M17" s="19">
        <f t="shared" si="6"/>
        <v>731</v>
      </c>
      <c r="N17" s="6">
        <f>-(Elec!E14)</f>
        <v>675</v>
      </c>
      <c r="O17" s="39">
        <f t="shared" si="7"/>
        <v>56</v>
      </c>
      <c r="P17" s="19">
        <f t="shared" si="8"/>
        <v>187.04</v>
      </c>
      <c r="Q17" s="19">
        <f t="shared" si="9"/>
        <v>862.04</v>
      </c>
      <c r="R17" s="54">
        <f t="shared" si="10"/>
        <v>2441.54</v>
      </c>
      <c r="S17" s="28">
        <f t="shared" si="11"/>
        <v>2.4949029999999999</v>
      </c>
      <c r="T17" s="28">
        <f t="shared" si="12"/>
        <v>2.9421425199999995</v>
      </c>
      <c r="U17" s="28">
        <f t="shared" si="13"/>
        <v>8.3329760200000003</v>
      </c>
      <c r="V17" s="19">
        <f>HDD!B21</f>
        <v>31</v>
      </c>
      <c r="W17" s="19">
        <f>CDD!B21</f>
        <v>202</v>
      </c>
      <c r="Y17" s="46">
        <f t="shared" si="14"/>
        <v>760.29973630237328</v>
      </c>
      <c r="Z17" s="42">
        <f t="shared" si="15"/>
        <v>892.71682390858484</v>
      </c>
      <c r="AA17" s="56">
        <f t="shared" si="16"/>
        <v>2472.216823908585</v>
      </c>
      <c r="AB17" s="42">
        <f t="shared" si="3"/>
        <v>2.594903</v>
      </c>
      <c r="AC17" s="42">
        <f t="shared" si="4"/>
        <v>3.0468425199999993</v>
      </c>
      <c r="AD17" s="56">
        <f t="shared" si="17"/>
        <v>8.4376760199999996</v>
      </c>
    </row>
    <row r="18" spans="2:30">
      <c r="B18" s="1">
        <v>40797</v>
      </c>
      <c r="C18" s="3">
        <f>Gas!C15</f>
        <v>0</v>
      </c>
      <c r="D18" s="27">
        <f t="shared" si="5"/>
        <v>0</v>
      </c>
      <c r="E18" s="28">
        <f t="shared" si="0"/>
        <v>0</v>
      </c>
      <c r="G18" s="28">
        <f t="shared" si="1"/>
        <v>0</v>
      </c>
      <c r="H18" s="28">
        <f t="shared" si="2"/>
        <v>0</v>
      </c>
      <c r="I18" s="28"/>
      <c r="J18" s="1">
        <v>40787</v>
      </c>
      <c r="K18" s="6">
        <f>Elec!B15</f>
        <v>227</v>
      </c>
      <c r="L18" s="6">
        <f>Elec!C15</f>
        <v>-28</v>
      </c>
      <c r="M18" s="19">
        <f t="shared" si="6"/>
        <v>682</v>
      </c>
      <c r="N18" s="6">
        <f>-(Elec!E15)</f>
        <v>483</v>
      </c>
      <c r="O18" s="39">
        <f t="shared" si="7"/>
        <v>199</v>
      </c>
      <c r="P18" s="19">
        <f t="shared" si="8"/>
        <v>664.66</v>
      </c>
      <c r="Q18" s="19">
        <f t="shared" si="9"/>
        <v>1147.6599999999999</v>
      </c>
      <c r="R18" s="54">
        <f t="shared" si="10"/>
        <v>2277.88</v>
      </c>
      <c r="S18" s="28">
        <f t="shared" si="11"/>
        <v>2.3276659999999998</v>
      </c>
      <c r="T18" s="28">
        <f t="shared" si="12"/>
        <v>3.9169635799999991</v>
      </c>
      <c r="U18" s="28">
        <f t="shared" si="13"/>
        <v>7.7744044399999996</v>
      </c>
      <c r="V18" s="19">
        <f>HDD!B22</f>
        <v>108</v>
      </c>
      <c r="W18" s="19">
        <f>CDD!B22</f>
        <v>105</v>
      </c>
      <c r="Y18" s="46">
        <f t="shared" si="14"/>
        <v>682</v>
      </c>
      <c r="Z18" s="42">
        <f t="shared" si="15"/>
        <v>1147.6599999999999</v>
      </c>
      <c r="AA18" s="56">
        <f t="shared" si="16"/>
        <v>2277.88</v>
      </c>
      <c r="AB18" s="42">
        <f t="shared" si="3"/>
        <v>2.3276659999999998</v>
      </c>
      <c r="AC18" s="42">
        <f t="shared" si="4"/>
        <v>3.9169635799999991</v>
      </c>
      <c r="AD18" s="56">
        <f t="shared" si="17"/>
        <v>7.7744044399999996</v>
      </c>
    </row>
    <row r="19" spans="2:30">
      <c r="B19" s="1">
        <v>40827</v>
      </c>
      <c r="C19" s="3">
        <f>Gas!C16</f>
        <v>8</v>
      </c>
      <c r="D19" s="27">
        <f t="shared" si="5"/>
        <v>0.8</v>
      </c>
      <c r="E19" s="28">
        <f t="shared" si="0"/>
        <v>0.83760000000000001</v>
      </c>
      <c r="G19" s="28">
        <f t="shared" si="1"/>
        <v>234.39789041898626</v>
      </c>
      <c r="H19" s="28">
        <f t="shared" si="2"/>
        <v>245.41459126867861</v>
      </c>
      <c r="I19" s="28"/>
      <c r="J19" s="1">
        <v>40817</v>
      </c>
      <c r="K19" s="6">
        <f>Elec!B16</f>
        <v>387</v>
      </c>
      <c r="L19" s="6">
        <f>Elec!C16</f>
        <v>-21</v>
      </c>
      <c r="M19" s="19">
        <f t="shared" si="6"/>
        <v>854</v>
      </c>
      <c r="N19" s="6">
        <f>-(Elec!E16)</f>
        <v>488</v>
      </c>
      <c r="O19" s="39">
        <f t="shared" si="7"/>
        <v>366</v>
      </c>
      <c r="P19" s="19">
        <f t="shared" si="8"/>
        <v>1222.44</v>
      </c>
      <c r="Q19" s="19">
        <f t="shared" si="9"/>
        <v>1710.44</v>
      </c>
      <c r="R19" s="54">
        <f t="shared" si="10"/>
        <v>2852.3599999999997</v>
      </c>
      <c r="S19" s="28">
        <f t="shared" si="11"/>
        <v>2.9147019999999997</v>
      </c>
      <c r="T19" s="28">
        <f t="shared" si="12"/>
        <v>5.8377317199999998</v>
      </c>
      <c r="U19" s="28">
        <f t="shared" si="13"/>
        <v>9.7351046799999992</v>
      </c>
      <c r="V19" s="19">
        <f>HDD!B23</f>
        <v>418</v>
      </c>
      <c r="W19" s="19">
        <f>CDD!B23</f>
        <v>15</v>
      </c>
      <c r="Y19" s="46">
        <f t="shared" si="14"/>
        <v>1088.3978904189862</v>
      </c>
      <c r="Z19" s="42">
        <f t="shared" si="15"/>
        <v>1955.8545912686786</v>
      </c>
      <c r="AA19" s="56">
        <f t="shared" si="16"/>
        <v>3097.7745912686783</v>
      </c>
      <c r="AB19" s="42">
        <f t="shared" si="3"/>
        <v>3.7147019999999999</v>
      </c>
      <c r="AC19" s="42">
        <f t="shared" si="4"/>
        <v>6.67533172</v>
      </c>
      <c r="AD19" s="56">
        <f t="shared" si="17"/>
        <v>10.572704679999998</v>
      </c>
    </row>
    <row r="20" spans="2:30">
      <c r="B20" s="1">
        <v>40858</v>
      </c>
      <c r="C20" s="3">
        <f>Gas!C17</f>
        <v>13</v>
      </c>
      <c r="D20" s="27">
        <f t="shared" si="5"/>
        <v>1.3</v>
      </c>
      <c r="E20" s="28">
        <f t="shared" si="0"/>
        <v>1.3611</v>
      </c>
      <c r="G20" s="28">
        <f t="shared" si="1"/>
        <v>380.8965719308527</v>
      </c>
      <c r="H20" s="28">
        <f t="shared" si="2"/>
        <v>398.79871081160275</v>
      </c>
      <c r="I20" s="28"/>
      <c r="J20" s="1">
        <v>40848</v>
      </c>
      <c r="K20" s="6">
        <f>Elec!B17</f>
        <v>442</v>
      </c>
      <c r="L20" s="6">
        <f>Elec!C17</f>
        <v>59</v>
      </c>
      <c r="M20" s="19">
        <f t="shared" si="6"/>
        <v>951</v>
      </c>
      <c r="N20" s="6">
        <f>-(Elec!E17)</f>
        <v>450</v>
      </c>
      <c r="O20" s="39">
        <f t="shared" si="7"/>
        <v>501</v>
      </c>
      <c r="P20" s="19">
        <f t="shared" si="8"/>
        <v>1673.34</v>
      </c>
      <c r="Q20" s="19">
        <f t="shared" si="9"/>
        <v>2123.34</v>
      </c>
      <c r="R20" s="54">
        <f t="shared" si="10"/>
        <v>3176.3399999999997</v>
      </c>
      <c r="S20" s="28">
        <f t="shared" si="11"/>
        <v>3.2457629999999997</v>
      </c>
      <c r="T20" s="28">
        <f t="shared" si="12"/>
        <v>7.2469594200000005</v>
      </c>
      <c r="U20" s="28">
        <f t="shared" si="13"/>
        <v>10.840848419999999</v>
      </c>
      <c r="V20" s="19">
        <f>HDD!B24</f>
        <v>563</v>
      </c>
      <c r="W20" s="19">
        <f>CDD!B24</f>
        <v>2</v>
      </c>
      <c r="Y20" s="46">
        <f t="shared" si="14"/>
        <v>1331.8965719308526</v>
      </c>
      <c r="Z20" s="42">
        <f t="shared" si="15"/>
        <v>2522.1387108116028</v>
      </c>
      <c r="AA20" s="56">
        <f t="shared" si="16"/>
        <v>3575.1387108116023</v>
      </c>
      <c r="AB20" s="42">
        <f t="shared" si="3"/>
        <v>4.545763</v>
      </c>
      <c r="AC20" s="42">
        <f t="shared" si="4"/>
        <v>8.60805942</v>
      </c>
      <c r="AD20" s="56">
        <f t="shared" si="17"/>
        <v>12.201948419999997</v>
      </c>
    </row>
    <row r="21" spans="2:30">
      <c r="B21" s="1">
        <v>40888</v>
      </c>
      <c r="C21" s="3">
        <f>Gas!C18</f>
        <v>43</v>
      </c>
      <c r="D21" s="27">
        <f t="shared" si="5"/>
        <v>4.3</v>
      </c>
      <c r="E21" s="28">
        <f t="shared" si="0"/>
        <v>4.5020999999999995</v>
      </c>
      <c r="G21" s="28">
        <f t="shared" si="1"/>
        <v>1259.8886610020511</v>
      </c>
      <c r="H21" s="28">
        <f t="shared" si="2"/>
        <v>1319.1034280691474</v>
      </c>
      <c r="I21" s="28"/>
      <c r="J21" s="1">
        <v>40878</v>
      </c>
      <c r="K21" s="6">
        <f>Elec!B18</f>
        <v>494</v>
      </c>
      <c r="L21" s="6">
        <f>Elec!C18</f>
        <v>216</v>
      </c>
      <c r="M21" s="19">
        <f t="shared" si="6"/>
        <v>1092</v>
      </c>
      <c r="N21" s="6">
        <f>-(Elec!E18)</f>
        <v>382</v>
      </c>
      <c r="O21" s="39">
        <f t="shared" si="7"/>
        <v>710</v>
      </c>
      <c r="P21" s="19">
        <f t="shared" si="8"/>
        <v>2371.4</v>
      </c>
      <c r="Q21" s="19">
        <f t="shared" si="9"/>
        <v>2753.4</v>
      </c>
      <c r="R21" s="54">
        <f t="shared" si="10"/>
        <v>3647.2799999999997</v>
      </c>
      <c r="S21" s="28">
        <f t="shared" si="11"/>
        <v>3.7269959999999998</v>
      </c>
      <c r="T21" s="28">
        <f t="shared" si="12"/>
        <v>9.3973542000000005</v>
      </c>
      <c r="U21" s="28">
        <f t="shared" si="13"/>
        <v>12.448166639999998</v>
      </c>
      <c r="V21" s="19">
        <f>HDD!B25</f>
        <v>882</v>
      </c>
      <c r="W21" s="19">
        <f>CDD!B25</f>
        <v>0</v>
      </c>
      <c r="Y21" s="46">
        <f t="shared" si="14"/>
        <v>2351.8886610020509</v>
      </c>
      <c r="Z21" s="42">
        <f t="shared" si="15"/>
        <v>4072.5034280691475</v>
      </c>
      <c r="AA21" s="56">
        <f t="shared" si="16"/>
        <v>4966.3834280691472</v>
      </c>
      <c r="AB21" s="42">
        <f t="shared" si="3"/>
        <v>8.0269960000000005</v>
      </c>
      <c r="AC21" s="42">
        <f t="shared" si="4"/>
        <v>13.899454200000001</v>
      </c>
      <c r="AD21" s="56">
        <f t="shared" si="17"/>
        <v>16.950266639999999</v>
      </c>
    </row>
    <row r="22" spans="2:30">
      <c r="B22" s="1">
        <v>40920</v>
      </c>
      <c r="C22" s="3">
        <f>Gas!C19</f>
        <v>55</v>
      </c>
      <c r="D22" s="27">
        <f t="shared" si="5"/>
        <v>5.5</v>
      </c>
      <c r="E22" s="28">
        <f t="shared" si="0"/>
        <v>5.7584999999999997</v>
      </c>
      <c r="G22" s="28">
        <f t="shared" si="1"/>
        <v>1611.4854966305304</v>
      </c>
      <c r="H22" s="28">
        <f t="shared" si="2"/>
        <v>1687.2253149721653</v>
      </c>
      <c r="I22" s="28"/>
      <c r="J22" s="1">
        <v>40909</v>
      </c>
      <c r="K22" s="6">
        <f>Elec!B19</f>
        <v>490</v>
      </c>
      <c r="L22" s="6">
        <f>Elec!C19</f>
        <v>181</v>
      </c>
      <c r="M22" s="19">
        <f t="shared" si="6"/>
        <v>1088</v>
      </c>
      <c r="N22" s="6">
        <f>-(Elec!E19)</f>
        <v>417</v>
      </c>
      <c r="O22" s="39">
        <f t="shared" si="7"/>
        <v>671</v>
      </c>
      <c r="P22" s="19">
        <f t="shared" si="8"/>
        <v>2241.14</v>
      </c>
      <c r="Q22" s="19">
        <f t="shared" si="9"/>
        <v>2658.14</v>
      </c>
      <c r="R22" s="54">
        <f t="shared" si="10"/>
        <v>3633.92</v>
      </c>
      <c r="S22" s="28">
        <f t="shared" si="11"/>
        <v>3.7133439999999998</v>
      </c>
      <c r="T22" s="28">
        <f t="shared" si="12"/>
        <v>9.0722318199999989</v>
      </c>
      <c r="U22" s="28">
        <f t="shared" si="13"/>
        <v>12.40256896</v>
      </c>
      <c r="V22" s="19">
        <f>HDD!B26</f>
        <v>1053</v>
      </c>
      <c r="W22" s="19">
        <f>CDD!B26</f>
        <v>0</v>
      </c>
      <c r="Y22" s="46">
        <f t="shared" si="14"/>
        <v>2699.4854966305302</v>
      </c>
      <c r="Z22" s="42">
        <f t="shared" si="15"/>
        <v>4345.3653149721649</v>
      </c>
      <c r="AA22" s="56">
        <f t="shared" si="16"/>
        <v>5321.1453149721656</v>
      </c>
      <c r="AB22" s="42">
        <f t="shared" si="3"/>
        <v>9.2133439999999993</v>
      </c>
      <c r="AC22" s="42">
        <f t="shared" si="4"/>
        <v>14.830731819999999</v>
      </c>
      <c r="AD22" s="56">
        <f t="shared" si="17"/>
        <v>18.161068960000001</v>
      </c>
    </row>
    <row r="23" spans="2:30">
      <c r="B23" s="1">
        <v>40940</v>
      </c>
      <c r="C23" s="3">
        <f>Gas!C20</f>
        <v>44</v>
      </c>
      <c r="D23" s="27">
        <f t="shared" si="5"/>
        <v>4.4000000000000004</v>
      </c>
      <c r="E23" s="28">
        <f t="shared" si="0"/>
        <v>4.6067999999999998</v>
      </c>
      <c r="G23" s="28">
        <f t="shared" si="1"/>
        <v>1289.1883973044246</v>
      </c>
      <c r="H23" s="28">
        <f t="shared" si="2"/>
        <v>1349.7802519777322</v>
      </c>
      <c r="I23" s="28"/>
      <c r="J23" s="1">
        <v>40940</v>
      </c>
      <c r="K23" s="6">
        <f>Elec!B20</f>
        <v>508</v>
      </c>
      <c r="L23" s="6">
        <f>Elec!C20</f>
        <v>-7</v>
      </c>
      <c r="M23" s="19">
        <f t="shared" si="6"/>
        <v>1037</v>
      </c>
      <c r="N23" s="6">
        <f>-(Elec!E20)</f>
        <v>536</v>
      </c>
      <c r="O23" s="39">
        <f t="shared" si="7"/>
        <v>501</v>
      </c>
      <c r="P23" s="19">
        <f t="shared" si="8"/>
        <v>1673.34</v>
      </c>
      <c r="Q23" s="19">
        <f t="shared" si="9"/>
        <v>2209.34</v>
      </c>
      <c r="R23" s="54">
        <f t="shared" si="10"/>
        <v>3463.58</v>
      </c>
      <c r="S23" s="28">
        <f t="shared" si="11"/>
        <v>3.5392809999999999</v>
      </c>
      <c r="T23" s="28">
        <f t="shared" si="12"/>
        <v>7.5404774200000002</v>
      </c>
      <c r="U23" s="28">
        <f t="shared" si="13"/>
        <v>11.821198539999999</v>
      </c>
      <c r="V23" s="19">
        <f>HDD!B27</f>
        <v>895</v>
      </c>
      <c r="W23" s="19">
        <f>CDD!B27</f>
        <v>0</v>
      </c>
      <c r="Y23" s="46">
        <f t="shared" si="14"/>
        <v>2326.1883973044246</v>
      </c>
      <c r="Z23" s="42">
        <f t="shared" si="15"/>
        <v>3559.1202519777326</v>
      </c>
      <c r="AA23" s="56">
        <f t="shared" si="16"/>
        <v>4813.3602519777323</v>
      </c>
      <c r="AB23" s="42">
        <f t="shared" si="3"/>
        <v>7.9392810000000003</v>
      </c>
      <c r="AC23" s="42">
        <f t="shared" si="4"/>
        <v>12.14727742</v>
      </c>
      <c r="AD23" s="56">
        <f t="shared" si="17"/>
        <v>16.427998540000001</v>
      </c>
    </row>
    <row r="24" spans="2:30">
      <c r="B24" s="1">
        <v>40969</v>
      </c>
      <c r="C24" s="3">
        <f>Gas!C21</f>
        <v>24</v>
      </c>
      <c r="D24" s="27">
        <f t="shared" si="5"/>
        <v>2.4000000000000004</v>
      </c>
      <c r="E24" s="28">
        <f t="shared" si="0"/>
        <v>2.5128000000000004</v>
      </c>
      <c r="G24" s="28">
        <f t="shared" si="1"/>
        <v>703.19367125695885</v>
      </c>
      <c r="H24" s="28">
        <f t="shared" si="2"/>
        <v>736.24377380603596</v>
      </c>
      <c r="I24" s="28"/>
      <c r="J24" s="1">
        <v>40969</v>
      </c>
      <c r="K24" s="6">
        <f>Elec!B21</f>
        <v>459</v>
      </c>
      <c r="L24" s="6">
        <f>Elec!C21</f>
        <v>-127</v>
      </c>
      <c r="M24" s="19">
        <f t="shared" si="6"/>
        <v>901</v>
      </c>
      <c r="N24" s="6">
        <f>-(Elec!E21)</f>
        <v>569</v>
      </c>
      <c r="O24" s="39">
        <f t="shared" si="7"/>
        <v>332</v>
      </c>
      <c r="P24" s="19">
        <f t="shared" si="8"/>
        <v>1108.8799999999999</v>
      </c>
      <c r="Q24" s="19">
        <f t="shared" si="9"/>
        <v>1677.8799999999999</v>
      </c>
      <c r="R24" s="54">
        <f t="shared" si="10"/>
        <v>3009.3399999999997</v>
      </c>
      <c r="S24" s="28">
        <f t="shared" si="11"/>
        <v>3.075113</v>
      </c>
      <c r="T24" s="28">
        <f t="shared" si="12"/>
        <v>5.7266044399999991</v>
      </c>
      <c r="U24" s="28">
        <f t="shared" si="13"/>
        <v>10.270877419999998</v>
      </c>
      <c r="V24" s="19">
        <f>HDD!B28</f>
        <v>652</v>
      </c>
      <c r="W24" s="19">
        <f>CDD!B28</f>
        <v>23</v>
      </c>
      <c r="Y24" s="46">
        <f t="shared" si="14"/>
        <v>1604.1936712569589</v>
      </c>
      <c r="Z24" s="42">
        <f t="shared" si="15"/>
        <v>2414.1237738060358</v>
      </c>
      <c r="AA24" s="56">
        <f t="shared" si="16"/>
        <v>3745.5837738060354</v>
      </c>
      <c r="AB24" s="42">
        <f t="shared" si="3"/>
        <v>5.4751130000000003</v>
      </c>
      <c r="AC24" s="42">
        <f t="shared" si="4"/>
        <v>8.2394044399999995</v>
      </c>
      <c r="AD24" s="56">
        <f t="shared" si="17"/>
        <v>12.783677419999998</v>
      </c>
    </row>
    <row r="25" spans="2:30">
      <c r="B25" s="1">
        <v>41000</v>
      </c>
      <c r="C25" s="3">
        <f>Gas!C22</f>
        <v>10</v>
      </c>
      <c r="D25" s="27">
        <f t="shared" si="5"/>
        <v>1</v>
      </c>
      <c r="E25" s="28">
        <f t="shared" si="0"/>
        <v>1.0469999999999999</v>
      </c>
      <c r="G25" s="28">
        <f t="shared" si="1"/>
        <v>292.99736302373282</v>
      </c>
      <c r="H25" s="28">
        <f t="shared" si="2"/>
        <v>306.76823908584822</v>
      </c>
      <c r="I25" s="28"/>
      <c r="J25" s="1">
        <v>41000</v>
      </c>
      <c r="K25" s="6">
        <f>Elec!B22</f>
        <v>359</v>
      </c>
      <c r="L25" s="6">
        <f>Elec!C22</f>
        <v>-150</v>
      </c>
      <c r="M25" s="19">
        <f t="shared" si="6"/>
        <v>789</v>
      </c>
      <c r="N25" s="6">
        <f>-(Elec!E22)</f>
        <v>580</v>
      </c>
      <c r="O25" s="39">
        <f t="shared" si="7"/>
        <v>209</v>
      </c>
      <c r="P25" s="19">
        <f t="shared" si="8"/>
        <v>698.06</v>
      </c>
      <c r="Q25" s="19">
        <f t="shared" si="9"/>
        <v>1278.06</v>
      </c>
      <c r="R25" s="54">
        <f t="shared" si="10"/>
        <v>2635.2599999999998</v>
      </c>
      <c r="S25" s="28">
        <f t="shared" si="11"/>
        <v>2.6928570000000001</v>
      </c>
      <c r="T25" s="28">
        <f t="shared" si="12"/>
        <v>4.3620187799999997</v>
      </c>
      <c r="U25" s="28">
        <f t="shared" si="13"/>
        <v>8.9941423799999995</v>
      </c>
      <c r="V25" s="19">
        <f>HDD!B29</f>
        <v>463</v>
      </c>
      <c r="W25" s="19">
        <f>CDD!B29</f>
        <v>26</v>
      </c>
      <c r="Y25" s="46">
        <f t="shared" si="14"/>
        <v>1081.9973630237328</v>
      </c>
      <c r="Z25" s="42">
        <f t="shared" si="15"/>
        <v>1584.8282390858481</v>
      </c>
      <c r="AA25" s="56">
        <f t="shared" si="16"/>
        <v>2942.0282390858479</v>
      </c>
      <c r="AB25" s="42">
        <f t="shared" si="3"/>
        <v>3.6928570000000001</v>
      </c>
      <c r="AC25" s="42">
        <f t="shared" si="4"/>
        <v>5.4090187799999994</v>
      </c>
      <c r="AD25" s="56">
        <f t="shared" si="17"/>
        <v>10.041142379999998</v>
      </c>
    </row>
    <row r="26" spans="2:30">
      <c r="B26" s="1">
        <v>41030</v>
      </c>
      <c r="C26" s="3">
        <f>Gas!C23</f>
        <v>5</v>
      </c>
      <c r="D26" s="27">
        <f t="shared" si="5"/>
        <v>0.5</v>
      </c>
      <c r="E26" s="28">
        <f t="shared" si="0"/>
        <v>0.52349999999999997</v>
      </c>
      <c r="G26" s="28">
        <f t="shared" si="1"/>
        <v>146.49868151186641</v>
      </c>
      <c r="H26" s="28">
        <f t="shared" si="2"/>
        <v>153.38411954292411</v>
      </c>
      <c r="I26" s="28"/>
      <c r="J26" s="1">
        <v>41030</v>
      </c>
      <c r="K26" s="6">
        <f>Elec!B23</f>
        <v>596</v>
      </c>
      <c r="L26" s="6">
        <f>Elec!C23</f>
        <v>-20</v>
      </c>
      <c r="M26" s="19">
        <f t="shared" si="6"/>
        <v>1253</v>
      </c>
      <c r="N26" s="6">
        <f>-(Elec!E23)</f>
        <v>677</v>
      </c>
      <c r="O26" s="39">
        <f t="shared" si="7"/>
        <v>576</v>
      </c>
      <c r="P26" s="19">
        <f t="shared" si="8"/>
        <v>1923.84</v>
      </c>
      <c r="Q26" s="19">
        <f t="shared" si="9"/>
        <v>2600.84</v>
      </c>
      <c r="R26" s="54">
        <f t="shared" si="10"/>
        <v>4185.0199999999995</v>
      </c>
      <c r="S26" s="28">
        <f t="shared" si="11"/>
        <v>4.2764889999999998</v>
      </c>
      <c r="T26" s="28">
        <f t="shared" si="12"/>
        <v>8.8766669199999999</v>
      </c>
      <c r="U26" s="28">
        <f t="shared" si="13"/>
        <v>14.283473259999997</v>
      </c>
      <c r="V26" s="19">
        <f>HDD!B30</f>
        <v>208</v>
      </c>
      <c r="W26" s="19">
        <f>CDD!B30</f>
        <v>60</v>
      </c>
      <c r="Y26" s="46">
        <f t="shared" si="14"/>
        <v>1399.4986815118664</v>
      </c>
      <c r="Z26" s="42">
        <f t="shared" si="15"/>
        <v>2754.2241195429242</v>
      </c>
      <c r="AA26" s="56">
        <f t="shared" si="16"/>
        <v>4338.4041195429236</v>
      </c>
      <c r="AB26" s="42">
        <f t="shared" si="3"/>
        <v>4.7764889999999998</v>
      </c>
      <c r="AC26" s="42">
        <f t="shared" si="4"/>
        <v>9.4001669200000002</v>
      </c>
      <c r="AD26" s="56">
        <f t="shared" si="17"/>
        <v>14.806973259999998</v>
      </c>
    </row>
    <row r="27" spans="2:30">
      <c r="B27" s="1">
        <v>41061</v>
      </c>
      <c r="C27" s="3">
        <f>Gas!C24</f>
        <v>1</v>
      </c>
      <c r="D27" s="27">
        <f t="shared" si="5"/>
        <v>0.1</v>
      </c>
      <c r="E27" s="28">
        <f t="shared" si="0"/>
        <v>0.1047</v>
      </c>
      <c r="G27" s="28">
        <f t="shared" si="1"/>
        <v>29.299736302373283</v>
      </c>
      <c r="H27" s="28">
        <f t="shared" si="2"/>
        <v>30.676823908584826</v>
      </c>
      <c r="I27" s="28"/>
      <c r="J27" s="1">
        <v>41061</v>
      </c>
      <c r="K27" s="6">
        <f>Elec!B24</f>
        <v>262</v>
      </c>
      <c r="L27" s="6">
        <f>Elec!C24</f>
        <v>-26</v>
      </c>
      <c r="M27" s="19">
        <f t="shared" si="6"/>
        <v>805</v>
      </c>
      <c r="N27" s="6">
        <f>-(Elec!E24)</f>
        <v>569</v>
      </c>
      <c r="O27" s="39">
        <f t="shared" si="7"/>
        <v>236</v>
      </c>
      <c r="P27" s="19">
        <f t="shared" si="8"/>
        <v>788.24</v>
      </c>
      <c r="Q27" s="19">
        <f t="shared" si="9"/>
        <v>1357.24</v>
      </c>
      <c r="R27" s="54">
        <f t="shared" si="10"/>
        <v>2688.7</v>
      </c>
      <c r="S27" s="28">
        <f t="shared" si="11"/>
        <v>2.747465</v>
      </c>
      <c r="T27" s="28">
        <f t="shared" si="12"/>
        <v>4.6322601199999998</v>
      </c>
      <c r="U27" s="28">
        <f t="shared" si="13"/>
        <v>9.1765330999999986</v>
      </c>
      <c r="V27" s="19">
        <f>HDD!B31</f>
        <v>121</v>
      </c>
      <c r="W27" s="19">
        <f>CDD!B31</f>
        <v>128</v>
      </c>
      <c r="Y27" s="46">
        <f t="shared" si="14"/>
        <v>834.29973630237328</v>
      </c>
      <c r="Z27" s="42">
        <f t="shared" si="15"/>
        <v>1387.9168239085848</v>
      </c>
      <c r="AA27" s="56">
        <f t="shared" si="16"/>
        <v>2719.3768239085848</v>
      </c>
      <c r="AB27" s="42">
        <f t="shared" si="3"/>
        <v>2.8474650000000001</v>
      </c>
      <c r="AC27" s="42">
        <f t="shared" si="4"/>
        <v>4.73696012</v>
      </c>
      <c r="AD27" s="56">
        <f t="shared" si="17"/>
        <v>9.2812330999999997</v>
      </c>
    </row>
    <row r="28" spans="2:30">
      <c r="B28" s="1">
        <v>41091</v>
      </c>
      <c r="C28" s="3">
        <f>Gas!C25</f>
        <v>0</v>
      </c>
      <c r="D28" s="27">
        <f t="shared" si="5"/>
        <v>0</v>
      </c>
      <c r="E28" s="28">
        <f t="shared" si="0"/>
        <v>0</v>
      </c>
      <c r="G28" s="28">
        <f t="shared" si="1"/>
        <v>0</v>
      </c>
      <c r="H28" s="28">
        <f t="shared" si="2"/>
        <v>0</v>
      </c>
      <c r="I28" s="28"/>
      <c r="J28" s="1">
        <v>41091</v>
      </c>
      <c r="K28" s="6">
        <f>Elec!B25</f>
        <v>236</v>
      </c>
      <c r="L28" s="6">
        <f>Elec!C25</f>
        <v>216</v>
      </c>
      <c r="M28" s="19">
        <f t="shared" si="6"/>
        <v>1232</v>
      </c>
      <c r="N28" s="6">
        <f>-(Elec!E25)</f>
        <v>780</v>
      </c>
      <c r="O28" s="39">
        <f t="shared" si="7"/>
        <v>452</v>
      </c>
      <c r="P28" s="19">
        <f t="shared" si="8"/>
        <v>1509.6799999999998</v>
      </c>
      <c r="Q28" s="19">
        <f t="shared" si="9"/>
        <v>2289.6799999999998</v>
      </c>
      <c r="R28" s="55">
        <f t="shared" si="10"/>
        <v>4114.88</v>
      </c>
      <c r="S28" s="28">
        <f t="shared" si="11"/>
        <v>4.2048160000000001</v>
      </c>
      <c r="T28" s="28">
        <f t="shared" si="12"/>
        <v>7.814677839999999</v>
      </c>
      <c r="U28" s="28">
        <f t="shared" si="13"/>
        <v>14.04408544</v>
      </c>
      <c r="V28" s="19">
        <f>HDD!B32</f>
        <v>22</v>
      </c>
      <c r="W28" s="19">
        <f>CDD!B32</f>
        <v>291</v>
      </c>
      <c r="Y28" s="48">
        <f t="shared" si="14"/>
        <v>1232</v>
      </c>
      <c r="Z28" s="49">
        <f t="shared" si="15"/>
        <v>2289.6799999999998</v>
      </c>
      <c r="AA28" s="57">
        <f t="shared" si="16"/>
        <v>4114.88</v>
      </c>
      <c r="AB28" s="49">
        <f t="shared" si="3"/>
        <v>4.2048160000000001</v>
      </c>
      <c r="AC28" s="49">
        <f t="shared" si="4"/>
        <v>7.814677839999999</v>
      </c>
      <c r="AD28" s="57">
        <f t="shared" si="17"/>
        <v>14.04408544</v>
      </c>
    </row>
    <row r="29" spans="2:30">
      <c r="B29" s="1"/>
      <c r="C29" s="3" t="s">
        <v>104</v>
      </c>
      <c r="D29" s="124">
        <f>SUM(D23:D28)</f>
        <v>8.4</v>
      </c>
      <c r="E29" s="28">
        <f t="shared" si="0"/>
        <v>8.7948000000000004</v>
      </c>
      <c r="G29" s="28"/>
      <c r="H29" s="28"/>
      <c r="I29" s="28"/>
      <c r="J29" s="1"/>
      <c r="K29" s="39"/>
      <c r="L29" s="39"/>
      <c r="M29" s="19" t="s">
        <v>104</v>
      </c>
      <c r="N29" s="39">
        <f>SUM(N23:N28)</f>
        <v>3711</v>
      </c>
      <c r="O29" s="39">
        <f>SUM(O17:O28)</f>
        <v>4809</v>
      </c>
      <c r="P29" s="28">
        <f t="shared" si="8"/>
        <v>16062.06</v>
      </c>
      <c r="R29" s="33" t="s">
        <v>104</v>
      </c>
      <c r="S29" s="28">
        <f>SUM(S23:S28)</f>
        <v>20.536021000000002</v>
      </c>
      <c r="T29" s="28">
        <f>SUM(T23:T28)</f>
        <v>38.952705519999995</v>
      </c>
      <c r="U29" s="28">
        <f>SUM(U23:U28)</f>
        <v>68.59031014</v>
      </c>
      <c r="Y29" s="42"/>
      <c r="Z29" s="42"/>
      <c r="AA29" s="42"/>
      <c r="AB29" s="42">
        <f t="shared" si="3"/>
        <v>28.936021000000004</v>
      </c>
      <c r="AC29" s="42">
        <f t="shared" si="4"/>
        <v>47.747505519999997</v>
      </c>
      <c r="AD29" s="42"/>
    </row>
    <row r="30" spans="2:30">
      <c r="C30" s="3" t="s">
        <v>108</v>
      </c>
      <c r="D30" s="59">
        <f>SUM(D17:D28)</f>
        <v>20.399999999999999</v>
      </c>
      <c r="E30" s="28">
        <f t="shared" si="0"/>
        <v>21.358799999999999</v>
      </c>
      <c r="G30" s="28"/>
      <c r="H30" s="28"/>
      <c r="I30" s="28"/>
      <c r="J30" s="1"/>
      <c r="K30" s="39"/>
      <c r="L30" s="39"/>
      <c r="N30" s="125">
        <f>N29*$E$3</f>
        <v>12.665642999999999</v>
      </c>
      <c r="O30" s="125">
        <f>SUM(O23:O28)</f>
        <v>2306</v>
      </c>
      <c r="P30" s="19">
        <f t="shared" si="8"/>
        <v>7702.04</v>
      </c>
      <c r="R30" s="33" t="s">
        <v>108</v>
      </c>
      <c r="S30" s="28">
        <f>SUM(S17:S28)</f>
        <v>38.959395000000001</v>
      </c>
      <c r="T30" s="28"/>
      <c r="U30" s="28">
        <f>SUM(U17:U28)</f>
        <v>130.12437929999999</v>
      </c>
      <c r="Y30" s="42"/>
      <c r="Z30" s="42"/>
      <c r="AA30" s="42"/>
      <c r="AB30" s="42">
        <f t="shared" si="3"/>
        <v>59.359394999999999</v>
      </c>
      <c r="AC30" s="42"/>
      <c r="AD30" s="42"/>
    </row>
    <row r="31" spans="2:30">
      <c r="B31" s="1" t="s">
        <v>102</v>
      </c>
      <c r="C31" s="3"/>
      <c r="D31" s="132"/>
      <c r="E31" s="28"/>
      <c r="G31" s="28"/>
      <c r="H31" s="28"/>
      <c r="I31" s="28"/>
      <c r="J31" s="1"/>
      <c r="K31" s="39"/>
      <c r="L31" s="39"/>
      <c r="N31" s="125"/>
      <c r="O31" s="125"/>
      <c r="R31" s="33"/>
      <c r="S31" s="28"/>
      <c r="T31" s="28"/>
      <c r="U31" s="28"/>
      <c r="Y31" s="42"/>
      <c r="Z31" s="42"/>
      <c r="AA31" s="42"/>
      <c r="AB31" s="42"/>
      <c r="AC31" s="42"/>
      <c r="AD31" s="42"/>
    </row>
    <row r="32" spans="2:30">
      <c r="B32" s="1"/>
      <c r="C32" s="122">
        <f>C34</f>
        <v>0.5</v>
      </c>
      <c r="D32" s="65">
        <f t="shared" ref="D32" si="18">C32*E$2</f>
        <v>0.05</v>
      </c>
      <c r="E32" s="61">
        <f t="shared" ref="E32" si="19">D32*E$5</f>
        <v>5.2350000000000001E-2</v>
      </c>
      <c r="F32" s="62"/>
      <c r="G32" s="61"/>
      <c r="H32" s="61"/>
      <c r="I32" s="61"/>
      <c r="J32" s="63"/>
      <c r="K32" s="64"/>
      <c r="L32" s="64"/>
      <c r="M32" s="123">
        <f>MIN(M23:M28)</f>
        <v>789</v>
      </c>
      <c r="N32" s="64"/>
      <c r="O32" s="64"/>
      <c r="P32" s="62"/>
      <c r="Q32" s="62"/>
      <c r="R32" s="62"/>
      <c r="S32" s="61">
        <f t="shared" ref="S32" si="20">M32*E$3</f>
        <v>2.6928570000000001</v>
      </c>
      <c r="T32" s="61">
        <f>S32*$E$4</f>
        <v>8.9941423799999995</v>
      </c>
      <c r="U32" s="61"/>
      <c r="V32" s="62"/>
      <c r="W32" s="62"/>
      <c r="X32" s="62"/>
      <c r="Y32" s="61"/>
      <c r="Z32" s="61"/>
      <c r="AA32" s="61"/>
      <c r="AB32" s="61">
        <f>D32+S32</f>
        <v>2.7428569999999999</v>
      </c>
      <c r="AC32" s="61"/>
      <c r="AD32" s="66">
        <f>E32+T32</f>
        <v>9.0464923800000001</v>
      </c>
    </row>
    <row r="33" spans="2:30">
      <c r="B33" s="1"/>
      <c r="C33" s="3"/>
      <c r="D33" s="121" t="s">
        <v>66</v>
      </c>
      <c r="E33" s="28"/>
      <c r="G33" s="28"/>
      <c r="H33" s="28"/>
      <c r="I33" s="28"/>
      <c r="J33" s="1"/>
      <c r="K33" s="39"/>
      <c r="L33" s="39"/>
      <c r="N33" s="39"/>
      <c r="O33" s="39"/>
      <c r="R33" s="33"/>
      <c r="S33" s="28"/>
      <c r="T33" s="28"/>
      <c r="U33" s="28"/>
      <c r="Y33" s="42"/>
      <c r="Z33" s="42"/>
      <c r="AA33" s="42"/>
      <c r="AB33" s="42"/>
      <c r="AC33" s="42"/>
      <c r="AD33" s="42"/>
    </row>
    <row r="34" spans="2:30">
      <c r="B34" s="1"/>
      <c r="C34" s="3">
        <f>SUM(C17:C18,C27:C28)/4</f>
        <v>0.5</v>
      </c>
      <c r="D34" s="27">
        <f t="shared" ref="D34" si="21">C34*E$2</f>
        <v>0.05</v>
      </c>
      <c r="E34" s="61">
        <f t="shared" ref="E34" si="22">D34*E$5</f>
        <v>5.2350000000000001E-2</v>
      </c>
      <c r="F34" s="62"/>
      <c r="G34" s="61">
        <f t="shared" ref="G34" si="23">D34*E$1</f>
        <v>14.649868151186642</v>
      </c>
      <c r="H34" s="61">
        <f t="shared" ref="H34" si="24">E34*E$1</f>
        <v>15.338411954292413</v>
      </c>
      <c r="I34" s="61"/>
      <c r="J34" s="63"/>
      <c r="K34" s="64"/>
      <c r="L34" s="64"/>
      <c r="M34" s="65">
        <f>SUM(M35:M36)/2</f>
        <v>706.5</v>
      </c>
      <c r="N34" s="64"/>
      <c r="O34" s="64"/>
      <c r="P34" s="62"/>
      <c r="Q34" s="62"/>
      <c r="R34" s="62">
        <f t="shared" ref="R34" si="25">M34*E$4</f>
        <v>2359.71</v>
      </c>
      <c r="S34" s="28">
        <f t="shared" ref="S34" si="26">M34*E$3</f>
        <v>2.4112844999999998</v>
      </c>
      <c r="T34" s="61">
        <f>S34*$E$4</f>
        <v>8.0536902299999991</v>
      </c>
      <c r="U34" s="61"/>
      <c r="V34" s="62"/>
      <c r="W34" s="62"/>
      <c r="X34" s="62"/>
      <c r="Y34" s="48">
        <f t="shared" ref="Y34" si="27">G34+M34</f>
        <v>721.14986815118664</v>
      </c>
      <c r="Z34" s="61"/>
      <c r="AA34" s="61">
        <f t="shared" ref="AA34" si="28">H34+R34</f>
        <v>2375.0484119542925</v>
      </c>
      <c r="AB34" s="66">
        <f>D34+S34</f>
        <v>2.4612844999999997</v>
      </c>
      <c r="AC34" s="61"/>
      <c r="AD34" s="66">
        <f>E34+T34</f>
        <v>8.1060402299999996</v>
      </c>
    </row>
    <row r="35" spans="2:30">
      <c r="B35" s="1">
        <v>41122</v>
      </c>
      <c r="C35" s="3">
        <f>Gas!C26</f>
        <v>0</v>
      </c>
      <c r="D35" s="60"/>
      <c r="M35" s="19">
        <f>MIN(M17:M28)</f>
        <v>682</v>
      </c>
    </row>
    <row r="36" spans="2:30">
      <c r="C36" s="6"/>
      <c r="D36" s="6"/>
      <c r="M36" s="19">
        <f>MIN(M19:M28,M17)</f>
        <v>731</v>
      </c>
      <c r="W36" s="29"/>
      <c r="X36" s="30"/>
      <c r="Y36" s="30"/>
      <c r="Z36" s="30"/>
      <c r="AA36" s="30"/>
      <c r="AB36" s="30"/>
      <c r="AC36" s="31"/>
    </row>
    <row r="37" spans="2:30">
      <c r="W37" s="32"/>
      <c r="X37" s="33"/>
      <c r="Y37" s="33" t="s">
        <v>24</v>
      </c>
      <c r="Z37" s="33" t="s">
        <v>27</v>
      </c>
      <c r="AA37" s="53" t="s">
        <v>64</v>
      </c>
      <c r="AB37" s="33" t="s">
        <v>25</v>
      </c>
      <c r="AC37" s="34" t="s">
        <v>60</v>
      </c>
      <c r="AD37" s="58" t="s">
        <v>64</v>
      </c>
    </row>
    <row r="38" spans="2:30">
      <c r="W38" s="32"/>
      <c r="X38" s="33"/>
      <c r="Y38" s="33"/>
      <c r="Z38" s="33"/>
      <c r="AA38" s="54"/>
      <c r="AB38" s="33"/>
      <c r="AC38" s="34"/>
      <c r="AD38" s="54"/>
    </row>
    <row r="39" spans="2:30">
      <c r="C39" s="19">
        <f>SUM(C23:C28)</f>
        <v>84</v>
      </c>
      <c r="M39" s="19">
        <f>SUM(M23:M28)</f>
        <v>6017</v>
      </c>
      <c r="W39" s="32" t="s">
        <v>57</v>
      </c>
      <c r="X39" s="33"/>
      <c r="Y39" s="42">
        <f>SUM(Y11:Y28)</f>
        <v>25991.316144154705</v>
      </c>
      <c r="Z39" s="42">
        <f>SUM(Z11:Z28)</f>
        <v>41980.870002929973</v>
      </c>
      <c r="AA39" s="54"/>
      <c r="AB39" s="42">
        <f>SUM(AB11:AB28)</f>
        <v>88.708361999999994</v>
      </c>
      <c r="AC39" s="47">
        <f>SUM(AC11:AC28)</f>
        <v>143.28070931999997</v>
      </c>
      <c r="AD39" s="54"/>
    </row>
    <row r="40" spans="2:30">
      <c r="C40" s="19">
        <f>SUM(C17:C28)</f>
        <v>204</v>
      </c>
      <c r="M40" s="19">
        <f>SUM(M17:M28)</f>
        <v>11415</v>
      </c>
      <c r="W40" s="32"/>
      <c r="X40" s="33"/>
      <c r="Y40" s="33"/>
      <c r="Z40" s="33"/>
      <c r="AA40" s="54"/>
      <c r="AB40" s="33"/>
      <c r="AC40" s="34"/>
      <c r="AD40" s="54"/>
    </row>
    <row r="41" spans="2:30">
      <c r="W41" s="32" t="s">
        <v>58</v>
      </c>
      <c r="X41" s="33"/>
      <c r="Y41" s="42">
        <f t="shared" ref="Y41:AD41" si="29">SUM(Y17:Y28)</f>
        <v>17392.146205684148</v>
      </c>
      <c r="Z41" s="42">
        <f t="shared" si="29"/>
        <v>28926.132077351303</v>
      </c>
      <c r="AA41" s="56">
        <f t="shared" si="29"/>
        <v>44384.172077351301</v>
      </c>
      <c r="AB41" s="42">
        <f t="shared" si="29"/>
        <v>59.359394999999999</v>
      </c>
      <c r="AC41" s="47">
        <f t="shared" si="29"/>
        <v>98.724888780000001</v>
      </c>
      <c r="AD41" s="56">
        <f t="shared" si="29"/>
        <v>151.48317930000002</v>
      </c>
    </row>
    <row r="42" spans="2:30">
      <c r="B42" s="19" t="s">
        <v>103</v>
      </c>
      <c r="E42" s="28">
        <f>SUM(E17:E28)</f>
        <v>21.358799999999999</v>
      </c>
      <c r="R42" s="28">
        <f>SUM(R17:R28)*E3</f>
        <v>130.12437929999999</v>
      </c>
      <c r="T42" s="28"/>
      <c r="U42" s="28"/>
      <c r="W42" s="32"/>
      <c r="X42" s="33"/>
      <c r="Y42" s="33"/>
      <c r="Z42" s="33"/>
      <c r="AA42" s="54"/>
      <c r="AB42" s="33"/>
      <c r="AC42" s="34"/>
      <c r="AD42" s="54"/>
    </row>
    <row r="43" spans="2:30">
      <c r="W43" s="35" t="s">
        <v>59</v>
      </c>
      <c r="X43" s="36"/>
      <c r="Y43" s="49">
        <f t="shared" ref="Y43:AD43" si="30">SUM(Y23:Y28)</f>
        <v>8478.1778493993552</v>
      </c>
      <c r="Z43" s="49">
        <f t="shared" si="30"/>
        <v>13989.893208321126</v>
      </c>
      <c r="AA43" s="49">
        <f t="shared" si="30"/>
        <v>22673.633208321124</v>
      </c>
      <c r="AB43" s="49">
        <f t="shared" si="30"/>
        <v>28.936021000000004</v>
      </c>
      <c r="AC43" s="50">
        <f t="shared" si="30"/>
        <v>47.747505519999997</v>
      </c>
      <c r="AD43" s="50">
        <f t="shared" si="30"/>
        <v>77.385110139999995</v>
      </c>
    </row>
  </sheetData>
  <mergeCells count="1">
    <mergeCell ref="K7:L7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B1:AB40"/>
  <sheetViews>
    <sheetView topLeftCell="A10" workbookViewId="0">
      <selection activeCell="C36" sqref="C36:C37"/>
    </sheetView>
  </sheetViews>
  <sheetFormatPr defaultRowHeight="15"/>
  <cols>
    <col min="8" max="9" width="9.140625" style="19"/>
    <col min="18" max="18" width="9.140625" style="19"/>
    <col min="25" max="25" width="9.140625" style="19"/>
  </cols>
  <sheetData>
    <row r="1" spans="2:28">
      <c r="C1" s="19" t="s">
        <v>32</v>
      </c>
      <c r="E1" s="28">
        <f>1/E3</f>
        <v>292.99736302373282</v>
      </c>
    </row>
    <row r="2" spans="2:28">
      <c r="C2" s="19" t="s">
        <v>29</v>
      </c>
      <c r="E2" s="26">
        <f>100000/1000000</f>
        <v>0.1</v>
      </c>
    </row>
    <row r="3" spans="2:28">
      <c r="C3" s="19" t="s">
        <v>28</v>
      </c>
      <c r="E3">
        <f>3413/1000000</f>
        <v>3.4129999999999998E-3</v>
      </c>
    </row>
    <row r="4" spans="2:28">
      <c r="B4" s="19" t="s">
        <v>31</v>
      </c>
      <c r="E4">
        <v>3.34</v>
      </c>
    </row>
    <row r="5" spans="2:28">
      <c r="B5" s="19" t="s">
        <v>30</v>
      </c>
      <c r="E5">
        <v>1.0469999999999999</v>
      </c>
    </row>
    <row r="6" spans="2:28">
      <c r="W6" s="19" t="s">
        <v>35</v>
      </c>
      <c r="Z6" s="19" t="s">
        <v>38</v>
      </c>
    </row>
    <row r="7" spans="2:28">
      <c r="B7" s="19" t="s">
        <v>21</v>
      </c>
      <c r="J7" s="19"/>
      <c r="K7" s="130" t="s">
        <v>5</v>
      </c>
      <c r="L7" s="130"/>
      <c r="M7" s="19" t="s">
        <v>33</v>
      </c>
      <c r="N7" s="19"/>
      <c r="O7" s="19"/>
      <c r="P7" s="19" t="s">
        <v>34</v>
      </c>
      <c r="R7" s="19" t="s">
        <v>25</v>
      </c>
      <c r="S7" s="19" t="s">
        <v>26</v>
      </c>
    </row>
    <row r="8" spans="2:28">
      <c r="B8" s="19"/>
      <c r="C8" s="19" t="s">
        <v>3</v>
      </c>
      <c r="D8" s="19" t="s">
        <v>25</v>
      </c>
      <c r="E8" s="19" t="s">
        <v>26</v>
      </c>
      <c r="G8" s="19" t="s">
        <v>24</v>
      </c>
      <c r="H8" s="19" t="s">
        <v>27</v>
      </c>
      <c r="J8" s="19"/>
      <c r="K8" s="19">
        <v>118</v>
      </c>
      <c r="L8" s="19">
        <v>120</v>
      </c>
      <c r="M8" s="19" t="s">
        <v>8</v>
      </c>
      <c r="N8" s="19" t="s">
        <v>9</v>
      </c>
      <c r="Q8" s="53" t="s">
        <v>64</v>
      </c>
      <c r="T8" s="19" t="s">
        <v>4</v>
      </c>
      <c r="U8" s="19" t="s">
        <v>10</v>
      </c>
      <c r="W8" s="19" t="s">
        <v>36</v>
      </c>
      <c r="X8" s="19" t="s">
        <v>37</v>
      </c>
      <c r="Y8" s="53" t="s">
        <v>64</v>
      </c>
      <c r="Z8" s="19" t="s">
        <v>36</v>
      </c>
      <c r="AA8" s="19" t="s">
        <v>37</v>
      </c>
      <c r="AB8" s="58" t="s">
        <v>64</v>
      </c>
    </row>
    <row r="9" spans="2:28">
      <c r="J9" s="1"/>
      <c r="K9" s="19"/>
      <c r="L9" s="19"/>
      <c r="M9" s="19"/>
      <c r="N9" s="19"/>
      <c r="O9" s="19" t="s">
        <v>65</v>
      </c>
      <c r="Q9" s="54"/>
      <c r="T9" s="19"/>
      <c r="U9" s="19"/>
      <c r="Y9" s="54"/>
      <c r="AB9" s="54"/>
    </row>
    <row r="10" spans="2:28">
      <c r="B10" s="1">
        <v>40544</v>
      </c>
      <c r="C10" s="3">
        <f>Gas!C7</f>
        <v>75</v>
      </c>
      <c r="D10" s="27">
        <f>C10*E$2</f>
        <v>7.5</v>
      </c>
      <c r="E10" s="28">
        <f t="shared" ref="E10:E28" si="0">D10*E$5</f>
        <v>7.8524999999999991</v>
      </c>
      <c r="G10" s="28">
        <f t="shared" ref="G10:G28" si="1">D10*E$1</f>
        <v>2197.4802226779962</v>
      </c>
      <c r="H10" s="28">
        <f t="shared" ref="H10:H28" si="2">E10*E$1</f>
        <v>2300.7617931438617</v>
      </c>
      <c r="I10" s="28"/>
      <c r="J10" s="1">
        <v>40544</v>
      </c>
      <c r="K10" s="6">
        <f>Elec!B7</f>
        <v>468</v>
      </c>
      <c r="L10" s="6">
        <f>Elec!C7</f>
        <v>262</v>
      </c>
      <c r="M10" s="19">
        <f>SUM(K10+L10)+N10+O10</f>
        <v>1033</v>
      </c>
      <c r="N10" s="6">
        <f>-(Elec!E7)</f>
        <v>303</v>
      </c>
      <c r="O10">
        <f>Elec!I7</f>
        <v>0</v>
      </c>
      <c r="P10">
        <f>((M10-(N10+O10))*E$4)+N10+O10</f>
        <v>2741.2</v>
      </c>
      <c r="Q10" s="54">
        <f>M10*E$4</f>
        <v>3450.22</v>
      </c>
      <c r="R10" s="28">
        <f>M10*E$3</f>
        <v>3.5256289999999999</v>
      </c>
      <c r="S10" s="28">
        <f>((M10-(N10+O10))*E$4+N10+O10)*E$3</f>
        <v>9.3557155999999981</v>
      </c>
      <c r="T10" s="19">
        <f>HDD!B14</f>
        <v>1298</v>
      </c>
      <c r="U10" s="19">
        <f>CDD!B14</f>
        <v>0</v>
      </c>
      <c r="W10" s="44">
        <f>G10+M10</f>
        <v>3230.4802226779962</v>
      </c>
      <c r="X10" s="45">
        <f>H10+P10</f>
        <v>5041.9617931438615</v>
      </c>
      <c r="Y10" s="56">
        <f>H10+Q10</f>
        <v>5750.9817931438611</v>
      </c>
      <c r="Z10" s="45">
        <f>D10+R10</f>
        <v>11.025629</v>
      </c>
      <c r="AA10" s="45">
        <f>E10+S10</f>
        <v>17.208215599999996</v>
      </c>
      <c r="AB10" s="56">
        <f>Y10*E$3</f>
        <v>19.628100859999996</v>
      </c>
    </row>
    <row r="11" spans="2:28">
      <c r="B11" s="1">
        <v>40575</v>
      </c>
      <c r="C11" s="3">
        <f>Gas!C8</f>
        <v>62</v>
      </c>
      <c r="D11" s="27">
        <f t="shared" ref="D11:D28" si="3">C11*E$2</f>
        <v>6.2</v>
      </c>
      <c r="E11" s="28">
        <f t="shared" si="0"/>
        <v>6.4913999999999996</v>
      </c>
      <c r="G11" s="28">
        <f t="shared" si="1"/>
        <v>1816.5836507471436</v>
      </c>
      <c r="H11" s="28">
        <f t="shared" si="2"/>
        <v>1901.9630823322591</v>
      </c>
      <c r="I11" s="28"/>
      <c r="J11" s="1">
        <v>40575</v>
      </c>
      <c r="K11" s="6">
        <f>Elec!B8</f>
        <v>458</v>
      </c>
      <c r="L11" s="6">
        <f>Elec!C8</f>
        <v>109</v>
      </c>
      <c r="M11" s="19">
        <f t="shared" ref="M11:M28" si="4">SUM(K11+L11)+N11+O11</f>
        <v>943</v>
      </c>
      <c r="N11" s="6">
        <f>-(Elec!E8)</f>
        <v>376</v>
      </c>
      <c r="O11" s="19">
        <f>Elec!I8</f>
        <v>0</v>
      </c>
      <c r="P11" s="19">
        <f t="shared" ref="P11:P28" si="5">((M11-(N11+O11))*E$4)+N11+O11</f>
        <v>2269.7799999999997</v>
      </c>
      <c r="Q11" s="54">
        <f t="shared" ref="Q11:Q28" si="6">M11*E$4</f>
        <v>3149.62</v>
      </c>
      <c r="R11" s="28">
        <f t="shared" ref="R11:R28" si="7">M11*E$3</f>
        <v>3.2184589999999997</v>
      </c>
      <c r="S11" s="28">
        <f t="shared" ref="S11:S28" si="8">((M11-N11)*E$4+N11)*E$3</f>
        <v>7.7467591399999991</v>
      </c>
      <c r="T11" s="19">
        <f>HDD!B15</f>
        <v>1070</v>
      </c>
      <c r="U11" s="19">
        <f>CDD!B15</f>
        <v>0</v>
      </c>
      <c r="W11" s="46">
        <f t="shared" ref="W11:W28" si="9">G11+M11</f>
        <v>2759.5836507471436</v>
      </c>
      <c r="X11" s="42">
        <f t="shared" ref="X11:X28" si="10">H11+P11</f>
        <v>4171.7430823322593</v>
      </c>
      <c r="Y11" s="56">
        <f t="shared" ref="Y11:Y28" si="11">H11+Q11</f>
        <v>5051.5830823322594</v>
      </c>
      <c r="Z11" s="42">
        <f t="shared" ref="Z11:Z28" si="12">D11+R11</f>
        <v>9.4184590000000004</v>
      </c>
      <c r="AA11" s="42">
        <f t="shared" ref="AA11:AA28" si="13">E11+S11</f>
        <v>14.238159139999999</v>
      </c>
      <c r="AB11" s="56">
        <f t="shared" ref="AB11:AB28" si="14">Y11*E$3</f>
        <v>17.241053059999999</v>
      </c>
    </row>
    <row r="12" spans="2:28">
      <c r="B12" s="1">
        <v>40603</v>
      </c>
      <c r="C12" s="3">
        <f>Gas!C9</f>
        <v>34</v>
      </c>
      <c r="D12" s="27">
        <f t="shared" si="3"/>
        <v>3.4000000000000004</v>
      </c>
      <c r="E12" s="28">
        <f t="shared" si="0"/>
        <v>3.5598000000000001</v>
      </c>
      <c r="G12" s="28">
        <f t="shared" si="1"/>
        <v>996.19103428069172</v>
      </c>
      <c r="H12" s="28">
        <f t="shared" si="2"/>
        <v>1043.0120128918841</v>
      </c>
      <c r="I12" s="28"/>
      <c r="J12" s="1">
        <v>40603</v>
      </c>
      <c r="K12" s="6">
        <f>Elec!B9</f>
        <v>457</v>
      </c>
      <c r="L12" s="6">
        <f>Elec!C9</f>
        <v>-150</v>
      </c>
      <c r="M12" s="19">
        <f t="shared" si="4"/>
        <v>897</v>
      </c>
      <c r="N12" s="6">
        <f>-(Elec!E9)</f>
        <v>590</v>
      </c>
      <c r="O12" s="19">
        <f>Elec!I9</f>
        <v>0</v>
      </c>
      <c r="P12" s="19">
        <f t="shared" si="5"/>
        <v>1615.3799999999999</v>
      </c>
      <c r="Q12" s="54">
        <f t="shared" si="6"/>
        <v>2995.98</v>
      </c>
      <c r="R12" s="28">
        <f t="shared" si="7"/>
        <v>3.061461</v>
      </c>
      <c r="S12" s="28">
        <f t="shared" si="8"/>
        <v>5.5132919399999993</v>
      </c>
      <c r="T12" s="19">
        <f>HDD!B16</f>
        <v>885</v>
      </c>
      <c r="U12" s="19">
        <f>CDD!B16</f>
        <v>0</v>
      </c>
      <c r="W12" s="46">
        <f t="shared" si="9"/>
        <v>1893.1910342806918</v>
      </c>
      <c r="X12" s="42">
        <f t="shared" si="10"/>
        <v>2658.392012891884</v>
      </c>
      <c r="Y12" s="56">
        <f t="shared" si="11"/>
        <v>4038.9920128918839</v>
      </c>
      <c r="Z12" s="42">
        <f t="shared" si="12"/>
        <v>6.4614609999999999</v>
      </c>
      <c r="AA12" s="42">
        <f t="shared" si="13"/>
        <v>9.0730919399999994</v>
      </c>
      <c r="AB12" s="56">
        <f t="shared" si="14"/>
        <v>13.785079739999999</v>
      </c>
    </row>
    <row r="13" spans="2:28">
      <c r="B13" s="1">
        <v>40634</v>
      </c>
      <c r="C13" s="3">
        <f>Gas!C10</f>
        <v>14</v>
      </c>
      <c r="D13" s="27">
        <f t="shared" si="3"/>
        <v>1.4000000000000001</v>
      </c>
      <c r="E13" s="28">
        <f t="shared" si="0"/>
        <v>1.4658</v>
      </c>
      <c r="G13" s="28">
        <f t="shared" si="1"/>
        <v>410.19630823322598</v>
      </c>
      <c r="H13" s="28">
        <f t="shared" si="2"/>
        <v>429.47553472018757</v>
      </c>
      <c r="I13" s="28"/>
      <c r="J13" s="1">
        <v>40634</v>
      </c>
      <c r="K13" s="6">
        <f>Elec!B10</f>
        <v>425</v>
      </c>
      <c r="L13" s="6">
        <f>Elec!C10</f>
        <v>-66</v>
      </c>
      <c r="M13" s="19">
        <f t="shared" si="4"/>
        <v>893</v>
      </c>
      <c r="N13" s="6">
        <f>-(Elec!E10)</f>
        <v>534</v>
      </c>
      <c r="O13" s="19">
        <f>Elec!I10</f>
        <v>0</v>
      </c>
      <c r="P13" s="19">
        <f t="shared" si="5"/>
        <v>1733.06</v>
      </c>
      <c r="Q13" s="54">
        <f t="shared" si="6"/>
        <v>2982.62</v>
      </c>
      <c r="R13" s="28">
        <f t="shared" si="7"/>
        <v>3.047809</v>
      </c>
      <c r="S13" s="28">
        <f t="shared" si="8"/>
        <v>5.9149337799999993</v>
      </c>
      <c r="T13" s="19">
        <f>HDD!B17</f>
        <v>502</v>
      </c>
      <c r="U13" s="19">
        <f>CDD!B17</f>
        <v>12</v>
      </c>
      <c r="W13" s="46">
        <f t="shared" si="9"/>
        <v>1303.1963082332259</v>
      </c>
      <c r="X13" s="42">
        <f t="shared" si="10"/>
        <v>2162.5355347201876</v>
      </c>
      <c r="Y13" s="56">
        <f t="shared" si="11"/>
        <v>3412.0955347201875</v>
      </c>
      <c r="Z13" s="42">
        <f t="shared" si="12"/>
        <v>4.4478090000000003</v>
      </c>
      <c r="AA13" s="42">
        <f t="shared" si="13"/>
        <v>7.380733779999999</v>
      </c>
      <c r="AB13" s="56">
        <f t="shared" si="14"/>
        <v>11.645482059999999</v>
      </c>
    </row>
    <row r="14" spans="2:28">
      <c r="B14" s="1">
        <v>40664</v>
      </c>
      <c r="C14" s="3">
        <f>Gas!C11</f>
        <v>3</v>
      </c>
      <c r="D14" s="27">
        <f t="shared" si="3"/>
        <v>0.30000000000000004</v>
      </c>
      <c r="E14" s="28">
        <f t="shared" si="0"/>
        <v>0.31410000000000005</v>
      </c>
      <c r="G14" s="28">
        <f t="shared" si="1"/>
        <v>87.899208907119856</v>
      </c>
      <c r="H14" s="28">
        <f t="shared" si="2"/>
        <v>92.030471725754495</v>
      </c>
      <c r="I14" s="28"/>
      <c r="J14" s="1">
        <v>40664</v>
      </c>
      <c r="K14" s="6">
        <f>Elec!B11</f>
        <v>382</v>
      </c>
      <c r="L14" s="6">
        <f>Elec!C11</f>
        <v>-132</v>
      </c>
      <c r="M14" s="19">
        <f t="shared" si="4"/>
        <v>835</v>
      </c>
      <c r="N14" s="6">
        <f>-(Elec!E11)</f>
        <v>585</v>
      </c>
      <c r="O14" s="19">
        <f>Elec!I11</f>
        <v>0</v>
      </c>
      <c r="P14" s="19">
        <f t="shared" si="5"/>
        <v>1420</v>
      </c>
      <c r="Q14" s="54">
        <f t="shared" si="6"/>
        <v>2788.9</v>
      </c>
      <c r="R14" s="28">
        <f t="shared" si="7"/>
        <v>2.8498549999999998</v>
      </c>
      <c r="S14" s="28">
        <f t="shared" si="8"/>
        <v>4.8464599999999995</v>
      </c>
      <c r="T14" s="19">
        <f>HDD!B18</f>
        <v>268</v>
      </c>
      <c r="U14" s="19">
        <f>CDD!B18</f>
        <v>63</v>
      </c>
      <c r="W14" s="46">
        <f t="shared" si="9"/>
        <v>922.89920890711983</v>
      </c>
      <c r="X14" s="42">
        <f t="shared" si="10"/>
        <v>1512.0304717257545</v>
      </c>
      <c r="Y14" s="56">
        <f t="shared" si="11"/>
        <v>2880.9304717257546</v>
      </c>
      <c r="Z14" s="42">
        <f t="shared" si="12"/>
        <v>3.1498549999999996</v>
      </c>
      <c r="AA14" s="42">
        <f t="shared" si="13"/>
        <v>5.1605599999999994</v>
      </c>
      <c r="AB14" s="56">
        <f t="shared" si="14"/>
        <v>9.8326156999999998</v>
      </c>
    </row>
    <row r="15" spans="2:28">
      <c r="B15" s="1">
        <v>40695</v>
      </c>
      <c r="C15" s="3">
        <f>Gas!C12</f>
        <v>1</v>
      </c>
      <c r="D15" s="27">
        <f t="shared" si="3"/>
        <v>0.1</v>
      </c>
      <c r="E15" s="28">
        <f t="shared" si="0"/>
        <v>0.1047</v>
      </c>
      <c r="G15" s="28">
        <f t="shared" si="1"/>
        <v>29.299736302373283</v>
      </c>
      <c r="H15" s="28">
        <f t="shared" si="2"/>
        <v>30.676823908584826</v>
      </c>
      <c r="I15" s="28"/>
      <c r="J15" s="1">
        <v>40695</v>
      </c>
      <c r="K15" s="6">
        <f>Elec!B12</f>
        <v>330</v>
      </c>
      <c r="L15" s="6">
        <f>Elec!C12</f>
        <v>-143</v>
      </c>
      <c r="M15" s="19">
        <f t="shared" si="4"/>
        <v>758</v>
      </c>
      <c r="N15" s="6">
        <f>-(Elec!E12)</f>
        <v>571</v>
      </c>
      <c r="O15" s="19">
        <f>Elec!I12</f>
        <v>0</v>
      </c>
      <c r="P15" s="19">
        <f t="shared" si="5"/>
        <v>1195.58</v>
      </c>
      <c r="Q15" s="54">
        <f t="shared" si="6"/>
        <v>2531.7199999999998</v>
      </c>
      <c r="R15" s="28">
        <f t="shared" si="7"/>
        <v>2.5870539999999997</v>
      </c>
      <c r="S15" s="28">
        <f t="shared" si="8"/>
        <v>4.0805145399999994</v>
      </c>
      <c r="T15" s="19">
        <f>HDD!B19</f>
        <v>113</v>
      </c>
      <c r="U15" s="19">
        <f>CDD!B19</f>
        <v>122</v>
      </c>
      <c r="W15" s="46">
        <f t="shared" si="9"/>
        <v>787.29973630237328</v>
      </c>
      <c r="X15" s="42">
        <f t="shared" si="10"/>
        <v>1226.2568239085847</v>
      </c>
      <c r="Y15" s="56">
        <f t="shared" si="11"/>
        <v>2562.3968239085848</v>
      </c>
      <c r="Z15" s="42">
        <f t="shared" si="12"/>
        <v>2.6870539999999998</v>
      </c>
      <c r="AA15" s="42">
        <f t="shared" si="13"/>
        <v>4.1852145399999996</v>
      </c>
      <c r="AB15" s="56">
        <f t="shared" si="14"/>
        <v>8.7454603599999992</v>
      </c>
    </row>
    <row r="16" spans="2:28">
      <c r="B16" s="1">
        <v>40735</v>
      </c>
      <c r="C16" s="3">
        <f>Gas!C13</f>
        <v>0</v>
      </c>
      <c r="D16" s="27">
        <f t="shared" si="3"/>
        <v>0</v>
      </c>
      <c r="E16" s="28">
        <f t="shared" si="0"/>
        <v>0</v>
      </c>
      <c r="G16" s="28">
        <f t="shared" si="1"/>
        <v>0</v>
      </c>
      <c r="H16" s="28">
        <f t="shared" si="2"/>
        <v>0</v>
      </c>
      <c r="I16" s="28"/>
      <c r="J16" s="1">
        <v>40725</v>
      </c>
      <c r="K16" s="6">
        <f>Elec!B13</f>
        <v>185</v>
      </c>
      <c r="L16" s="6">
        <f>Elec!C13</f>
        <v>-18</v>
      </c>
      <c r="M16" s="19">
        <f t="shared" si="4"/>
        <v>933</v>
      </c>
      <c r="N16" s="6">
        <f>-(Elec!E13)</f>
        <v>766</v>
      </c>
      <c r="O16" s="19">
        <f>Elec!I13</f>
        <v>0</v>
      </c>
      <c r="P16" s="19">
        <f t="shared" si="5"/>
        <v>1323.78</v>
      </c>
      <c r="Q16" s="54">
        <f t="shared" si="6"/>
        <v>3116.22</v>
      </c>
      <c r="R16" s="28">
        <f t="shared" si="7"/>
        <v>3.184329</v>
      </c>
      <c r="S16" s="28">
        <f t="shared" si="8"/>
        <v>4.5180611399999995</v>
      </c>
      <c r="T16" s="19">
        <f>HDD!B20</f>
        <v>20</v>
      </c>
      <c r="U16" s="19">
        <f>CDD!B20</f>
        <v>309</v>
      </c>
      <c r="W16" s="46">
        <f t="shared" si="9"/>
        <v>933</v>
      </c>
      <c r="X16" s="42">
        <f t="shared" si="10"/>
        <v>1323.78</v>
      </c>
      <c r="Y16" s="56">
        <f t="shared" si="11"/>
        <v>3116.22</v>
      </c>
      <c r="Z16" s="42">
        <f t="shared" si="12"/>
        <v>3.184329</v>
      </c>
      <c r="AA16" s="42">
        <f t="shared" si="13"/>
        <v>4.5180611399999995</v>
      </c>
      <c r="AB16" s="56">
        <f t="shared" si="14"/>
        <v>10.635658859999999</v>
      </c>
    </row>
    <row r="17" spans="2:28">
      <c r="B17" s="1">
        <v>40766</v>
      </c>
      <c r="C17" s="3">
        <f>Gas!C14</f>
        <v>1</v>
      </c>
      <c r="D17" s="27">
        <f t="shared" si="3"/>
        <v>0.1</v>
      </c>
      <c r="E17" s="28">
        <f t="shared" si="0"/>
        <v>0.1047</v>
      </c>
      <c r="G17" s="28">
        <f t="shared" si="1"/>
        <v>29.299736302373283</v>
      </c>
      <c r="H17" s="28">
        <f t="shared" si="2"/>
        <v>30.676823908584826</v>
      </c>
      <c r="I17" s="28"/>
      <c r="J17" s="1">
        <v>40756</v>
      </c>
      <c r="K17" s="6">
        <f>Elec!B14</f>
        <v>155</v>
      </c>
      <c r="L17" s="6">
        <f>Elec!C14</f>
        <v>-99</v>
      </c>
      <c r="M17" s="19">
        <f t="shared" si="4"/>
        <v>731</v>
      </c>
      <c r="N17" s="6">
        <f>-(Elec!E14)</f>
        <v>675</v>
      </c>
      <c r="O17" s="19">
        <f>Elec!I14</f>
        <v>0</v>
      </c>
      <c r="P17" s="19">
        <f t="shared" si="5"/>
        <v>862.04</v>
      </c>
      <c r="Q17" s="54">
        <f t="shared" si="6"/>
        <v>2441.54</v>
      </c>
      <c r="R17" s="28">
        <f t="shared" si="7"/>
        <v>2.4949029999999999</v>
      </c>
      <c r="S17" s="28">
        <f t="shared" si="8"/>
        <v>2.9421425199999995</v>
      </c>
      <c r="T17" s="19">
        <f>HDD!B21</f>
        <v>31</v>
      </c>
      <c r="U17" s="19">
        <f>CDD!B21</f>
        <v>202</v>
      </c>
      <c r="W17" s="46">
        <f t="shared" si="9"/>
        <v>760.29973630237328</v>
      </c>
      <c r="X17" s="42">
        <f t="shared" si="10"/>
        <v>892.71682390858484</v>
      </c>
      <c r="Y17" s="56">
        <f t="shared" si="11"/>
        <v>2472.216823908585</v>
      </c>
      <c r="Z17" s="42">
        <f t="shared" si="12"/>
        <v>2.594903</v>
      </c>
      <c r="AA17" s="42">
        <f t="shared" si="13"/>
        <v>3.0468425199999993</v>
      </c>
      <c r="AB17" s="56">
        <f t="shared" si="14"/>
        <v>8.4376760199999996</v>
      </c>
    </row>
    <row r="18" spans="2:28">
      <c r="B18" s="1">
        <v>40797</v>
      </c>
      <c r="C18" s="3">
        <f>Gas!C15</f>
        <v>0</v>
      </c>
      <c r="D18" s="27">
        <f t="shared" si="3"/>
        <v>0</v>
      </c>
      <c r="E18" s="28">
        <f t="shared" si="0"/>
        <v>0</v>
      </c>
      <c r="G18" s="28">
        <f t="shared" si="1"/>
        <v>0</v>
      </c>
      <c r="H18" s="28">
        <f t="shared" si="2"/>
        <v>0</v>
      </c>
      <c r="I18" s="28"/>
      <c r="J18" s="1">
        <v>40787</v>
      </c>
      <c r="K18" s="6">
        <f>Elec!B15</f>
        <v>227</v>
      </c>
      <c r="L18" s="6">
        <f>Elec!C15</f>
        <v>-28</v>
      </c>
      <c r="M18" s="19">
        <f t="shared" si="4"/>
        <v>682</v>
      </c>
      <c r="N18" s="6">
        <f>-(Elec!E15)</f>
        <v>483</v>
      </c>
      <c r="O18" s="19">
        <f>Elec!I15</f>
        <v>0</v>
      </c>
      <c r="P18" s="19">
        <f t="shared" si="5"/>
        <v>1147.6599999999999</v>
      </c>
      <c r="Q18" s="54">
        <f t="shared" si="6"/>
        <v>2277.88</v>
      </c>
      <c r="R18" s="28">
        <f t="shared" si="7"/>
        <v>2.3276659999999998</v>
      </c>
      <c r="S18" s="28">
        <f t="shared" si="8"/>
        <v>3.9169635799999991</v>
      </c>
      <c r="T18" s="19">
        <f>HDD!B22</f>
        <v>108</v>
      </c>
      <c r="U18" s="19">
        <f>CDD!B22</f>
        <v>105</v>
      </c>
      <c r="W18" s="46">
        <f t="shared" si="9"/>
        <v>682</v>
      </c>
      <c r="X18" s="42">
        <f t="shared" si="10"/>
        <v>1147.6599999999999</v>
      </c>
      <c r="Y18" s="56">
        <f t="shared" si="11"/>
        <v>2277.88</v>
      </c>
      <c r="Z18" s="42">
        <f t="shared" si="12"/>
        <v>2.3276659999999998</v>
      </c>
      <c r="AA18" s="42">
        <f t="shared" si="13"/>
        <v>3.9169635799999991</v>
      </c>
      <c r="AB18" s="56">
        <f t="shared" si="14"/>
        <v>7.7744044399999996</v>
      </c>
    </row>
    <row r="19" spans="2:28">
      <c r="B19" s="1">
        <v>40827</v>
      </c>
      <c r="C19" s="3">
        <f>Gas!C16</f>
        <v>8</v>
      </c>
      <c r="D19" s="27">
        <f t="shared" si="3"/>
        <v>0.8</v>
      </c>
      <c r="E19" s="28">
        <f t="shared" si="0"/>
        <v>0.83760000000000001</v>
      </c>
      <c r="G19" s="28">
        <f t="shared" si="1"/>
        <v>234.39789041898626</v>
      </c>
      <c r="H19" s="28">
        <f t="shared" si="2"/>
        <v>245.41459126867861</v>
      </c>
      <c r="I19" s="28"/>
      <c r="J19" s="1">
        <v>40817</v>
      </c>
      <c r="K19" s="6">
        <f>Elec!B16</f>
        <v>387</v>
      </c>
      <c r="L19" s="6">
        <f>Elec!C16</f>
        <v>-21</v>
      </c>
      <c r="M19" s="19">
        <f t="shared" si="4"/>
        <v>854</v>
      </c>
      <c r="N19" s="6">
        <f>-(Elec!E16)</f>
        <v>488</v>
      </c>
      <c r="O19" s="19">
        <f>Elec!I16</f>
        <v>0</v>
      </c>
      <c r="P19" s="19">
        <f t="shared" si="5"/>
        <v>1710.44</v>
      </c>
      <c r="Q19" s="54">
        <f t="shared" si="6"/>
        <v>2852.3599999999997</v>
      </c>
      <c r="R19" s="28">
        <f t="shared" si="7"/>
        <v>2.9147019999999997</v>
      </c>
      <c r="S19" s="28">
        <f t="shared" si="8"/>
        <v>5.8377317199999998</v>
      </c>
      <c r="T19" s="19">
        <f>HDD!B23</f>
        <v>418</v>
      </c>
      <c r="U19" s="19">
        <f>CDD!B23</f>
        <v>15</v>
      </c>
      <c r="W19" s="46">
        <f t="shared" si="9"/>
        <v>1088.3978904189862</v>
      </c>
      <c r="X19" s="42">
        <f t="shared" si="10"/>
        <v>1955.8545912686786</v>
      </c>
      <c r="Y19" s="56">
        <f t="shared" si="11"/>
        <v>3097.7745912686783</v>
      </c>
      <c r="Z19" s="42">
        <f t="shared" si="12"/>
        <v>3.7147019999999999</v>
      </c>
      <c r="AA19" s="42">
        <f t="shared" si="13"/>
        <v>6.67533172</v>
      </c>
      <c r="AB19" s="56">
        <f t="shared" si="14"/>
        <v>10.572704679999998</v>
      </c>
    </row>
    <row r="20" spans="2:28">
      <c r="B20" s="1">
        <v>40858</v>
      </c>
      <c r="C20" s="3">
        <f>Gas!C17</f>
        <v>13</v>
      </c>
      <c r="D20" s="27">
        <f t="shared" si="3"/>
        <v>1.3</v>
      </c>
      <c r="E20" s="28">
        <f t="shared" si="0"/>
        <v>1.3611</v>
      </c>
      <c r="G20" s="28">
        <f t="shared" si="1"/>
        <v>380.8965719308527</v>
      </c>
      <c r="H20" s="28">
        <f t="shared" si="2"/>
        <v>398.79871081160275</v>
      </c>
      <c r="I20" s="28"/>
      <c r="J20" s="1">
        <v>40848</v>
      </c>
      <c r="K20" s="6">
        <f>Elec!B17</f>
        <v>442</v>
      </c>
      <c r="L20" s="6">
        <f>Elec!C17</f>
        <v>59</v>
      </c>
      <c r="M20" s="19">
        <f t="shared" si="4"/>
        <v>951</v>
      </c>
      <c r="N20" s="6">
        <f>-(Elec!E17)</f>
        <v>450</v>
      </c>
      <c r="O20" s="19">
        <f>Elec!I17</f>
        <v>0</v>
      </c>
      <c r="P20" s="19">
        <f t="shared" si="5"/>
        <v>2123.34</v>
      </c>
      <c r="Q20" s="54">
        <f t="shared" si="6"/>
        <v>3176.3399999999997</v>
      </c>
      <c r="R20" s="28">
        <f t="shared" si="7"/>
        <v>3.2457629999999997</v>
      </c>
      <c r="S20" s="28">
        <f t="shared" si="8"/>
        <v>7.2469594200000005</v>
      </c>
      <c r="T20" s="19">
        <f>HDD!B24</f>
        <v>563</v>
      </c>
      <c r="U20" s="19">
        <f>CDD!B24</f>
        <v>2</v>
      </c>
      <c r="W20" s="46">
        <f t="shared" si="9"/>
        <v>1331.8965719308526</v>
      </c>
      <c r="X20" s="42">
        <f t="shared" si="10"/>
        <v>2522.1387108116028</v>
      </c>
      <c r="Y20" s="56">
        <f t="shared" si="11"/>
        <v>3575.1387108116023</v>
      </c>
      <c r="Z20" s="42">
        <f t="shared" si="12"/>
        <v>4.545763</v>
      </c>
      <c r="AA20" s="42">
        <f t="shared" si="13"/>
        <v>8.60805942</v>
      </c>
      <c r="AB20" s="56">
        <f t="shared" si="14"/>
        <v>12.201948419999997</v>
      </c>
    </row>
    <row r="21" spans="2:28">
      <c r="B21" s="1">
        <v>40888</v>
      </c>
      <c r="C21" s="3">
        <f>Gas!C18</f>
        <v>43</v>
      </c>
      <c r="D21" s="27">
        <f t="shared" si="3"/>
        <v>4.3</v>
      </c>
      <c r="E21" s="28">
        <f t="shared" si="0"/>
        <v>4.5020999999999995</v>
      </c>
      <c r="G21" s="28">
        <f t="shared" si="1"/>
        <v>1259.8886610020511</v>
      </c>
      <c r="H21" s="28">
        <f t="shared" si="2"/>
        <v>1319.1034280691474</v>
      </c>
      <c r="I21" s="28"/>
      <c r="J21" s="1">
        <v>40878</v>
      </c>
      <c r="K21" s="6">
        <f>Elec!B18</f>
        <v>494</v>
      </c>
      <c r="L21" s="6">
        <f>Elec!C18</f>
        <v>216</v>
      </c>
      <c r="M21" s="19">
        <f t="shared" si="4"/>
        <v>1092</v>
      </c>
      <c r="N21" s="6">
        <f>-(Elec!E18)</f>
        <v>382</v>
      </c>
      <c r="O21" s="19">
        <f>Elec!I18</f>
        <v>0</v>
      </c>
      <c r="P21" s="19">
        <f t="shared" si="5"/>
        <v>2753.4</v>
      </c>
      <c r="Q21" s="54">
        <f t="shared" si="6"/>
        <v>3647.2799999999997</v>
      </c>
      <c r="R21" s="28">
        <f t="shared" si="7"/>
        <v>3.7269959999999998</v>
      </c>
      <c r="S21" s="28">
        <f t="shared" si="8"/>
        <v>9.3973542000000005</v>
      </c>
      <c r="T21" s="19">
        <f>HDD!B25</f>
        <v>882</v>
      </c>
      <c r="U21" s="19">
        <f>CDD!B25</f>
        <v>0</v>
      </c>
      <c r="W21" s="46">
        <f t="shared" si="9"/>
        <v>2351.8886610020509</v>
      </c>
      <c r="X21" s="42">
        <f t="shared" si="10"/>
        <v>4072.5034280691475</v>
      </c>
      <c r="Y21" s="56">
        <f t="shared" si="11"/>
        <v>4966.3834280691472</v>
      </c>
      <c r="Z21" s="42">
        <f t="shared" si="12"/>
        <v>8.0269960000000005</v>
      </c>
      <c r="AA21" s="42">
        <f t="shared" si="13"/>
        <v>13.899454200000001</v>
      </c>
      <c r="AB21" s="56">
        <f t="shared" si="14"/>
        <v>16.950266639999999</v>
      </c>
    </row>
    <row r="22" spans="2:28">
      <c r="B22" s="1">
        <v>40920</v>
      </c>
      <c r="C22" s="3">
        <f>Gas!C19</f>
        <v>55</v>
      </c>
      <c r="D22" s="27">
        <f t="shared" si="3"/>
        <v>5.5</v>
      </c>
      <c r="E22" s="28">
        <f t="shared" si="0"/>
        <v>5.7584999999999997</v>
      </c>
      <c r="G22" s="28">
        <f t="shared" si="1"/>
        <v>1611.4854966305304</v>
      </c>
      <c r="H22" s="28">
        <f t="shared" si="2"/>
        <v>1687.2253149721653</v>
      </c>
      <c r="I22" s="28"/>
      <c r="J22" s="1">
        <v>40909</v>
      </c>
      <c r="K22" s="6">
        <f>Elec!B19</f>
        <v>490</v>
      </c>
      <c r="L22" s="6">
        <f>Elec!C19</f>
        <v>181</v>
      </c>
      <c r="M22" s="19">
        <f t="shared" si="4"/>
        <v>1088</v>
      </c>
      <c r="N22" s="6">
        <f>-(Elec!E19)</f>
        <v>417</v>
      </c>
      <c r="O22" s="19">
        <f>Elec!I19</f>
        <v>0</v>
      </c>
      <c r="P22" s="19">
        <f t="shared" si="5"/>
        <v>2658.14</v>
      </c>
      <c r="Q22" s="54">
        <f t="shared" si="6"/>
        <v>3633.92</v>
      </c>
      <c r="R22" s="28">
        <f t="shared" si="7"/>
        <v>3.7133439999999998</v>
      </c>
      <c r="S22" s="28">
        <f t="shared" si="8"/>
        <v>9.0722318199999989</v>
      </c>
      <c r="T22" s="19">
        <f>HDD!B26</f>
        <v>1053</v>
      </c>
      <c r="U22" s="19">
        <f>CDD!B26</f>
        <v>0</v>
      </c>
      <c r="W22" s="46">
        <f t="shared" si="9"/>
        <v>2699.4854966305302</v>
      </c>
      <c r="X22" s="42">
        <f t="shared" si="10"/>
        <v>4345.3653149721649</v>
      </c>
      <c r="Y22" s="56">
        <f t="shared" si="11"/>
        <v>5321.1453149721656</v>
      </c>
      <c r="Z22" s="42">
        <f t="shared" si="12"/>
        <v>9.2133439999999993</v>
      </c>
      <c r="AA22" s="42">
        <f t="shared" si="13"/>
        <v>14.830731819999999</v>
      </c>
      <c r="AB22" s="56">
        <f t="shared" si="14"/>
        <v>18.161068960000001</v>
      </c>
    </row>
    <row r="23" spans="2:28">
      <c r="B23" s="1">
        <v>40940</v>
      </c>
      <c r="C23" s="3">
        <f>Gas!C20</f>
        <v>44</v>
      </c>
      <c r="D23" s="27">
        <f t="shared" si="3"/>
        <v>4.4000000000000004</v>
      </c>
      <c r="E23" s="28">
        <f t="shared" si="0"/>
        <v>4.6067999999999998</v>
      </c>
      <c r="G23" s="28">
        <f t="shared" si="1"/>
        <v>1289.1883973044246</v>
      </c>
      <c r="H23" s="28">
        <f t="shared" si="2"/>
        <v>1349.7802519777322</v>
      </c>
      <c r="I23" s="28"/>
      <c r="J23" s="1">
        <v>40940</v>
      </c>
      <c r="K23" s="6">
        <f>Elec!B20</f>
        <v>508</v>
      </c>
      <c r="L23" s="6">
        <f>Elec!C20</f>
        <v>-7</v>
      </c>
      <c r="M23" s="19">
        <f t="shared" si="4"/>
        <v>1037</v>
      </c>
      <c r="N23" s="6">
        <f>-(Elec!E20)</f>
        <v>536</v>
      </c>
      <c r="O23" s="19">
        <f>Elec!I20</f>
        <v>0</v>
      </c>
      <c r="P23" s="19">
        <f t="shared" si="5"/>
        <v>2209.34</v>
      </c>
      <c r="Q23" s="54">
        <f t="shared" si="6"/>
        <v>3463.58</v>
      </c>
      <c r="R23" s="28">
        <f t="shared" si="7"/>
        <v>3.5392809999999999</v>
      </c>
      <c r="S23" s="28">
        <f t="shared" si="8"/>
        <v>7.5404774200000002</v>
      </c>
      <c r="T23" s="19">
        <f>HDD!B27</f>
        <v>895</v>
      </c>
      <c r="U23" s="19">
        <f>CDD!B27</f>
        <v>0</v>
      </c>
      <c r="W23" s="46">
        <f t="shared" si="9"/>
        <v>2326.1883973044246</v>
      </c>
      <c r="X23" s="42">
        <f t="shared" si="10"/>
        <v>3559.1202519777326</v>
      </c>
      <c r="Y23" s="56">
        <f t="shared" si="11"/>
        <v>4813.3602519777323</v>
      </c>
      <c r="Z23" s="42">
        <f t="shared" si="12"/>
        <v>7.9392810000000003</v>
      </c>
      <c r="AA23" s="42">
        <f t="shared" si="13"/>
        <v>12.14727742</v>
      </c>
      <c r="AB23" s="56">
        <f t="shared" si="14"/>
        <v>16.427998540000001</v>
      </c>
    </row>
    <row r="24" spans="2:28">
      <c r="B24" s="1">
        <v>40969</v>
      </c>
      <c r="C24" s="3">
        <f>Gas!C21</f>
        <v>24</v>
      </c>
      <c r="D24" s="27">
        <f t="shared" si="3"/>
        <v>2.4000000000000004</v>
      </c>
      <c r="E24" s="28">
        <f t="shared" si="0"/>
        <v>2.5128000000000004</v>
      </c>
      <c r="G24" s="28">
        <f t="shared" si="1"/>
        <v>703.19367125695885</v>
      </c>
      <c r="H24" s="28">
        <f t="shared" si="2"/>
        <v>736.24377380603596</v>
      </c>
      <c r="I24" s="28"/>
      <c r="J24" s="1">
        <v>40969</v>
      </c>
      <c r="K24" s="6">
        <f>Elec!B21</f>
        <v>459</v>
      </c>
      <c r="L24" s="6">
        <f>Elec!C21</f>
        <v>-127</v>
      </c>
      <c r="M24" s="19">
        <f t="shared" si="4"/>
        <v>901</v>
      </c>
      <c r="N24" s="6">
        <f>-(Elec!E21)</f>
        <v>569</v>
      </c>
      <c r="O24" s="19">
        <f>Elec!I21</f>
        <v>0</v>
      </c>
      <c r="P24" s="19">
        <f t="shared" si="5"/>
        <v>1677.8799999999999</v>
      </c>
      <c r="Q24" s="54">
        <f t="shared" si="6"/>
        <v>3009.3399999999997</v>
      </c>
      <c r="R24" s="28">
        <f t="shared" si="7"/>
        <v>3.075113</v>
      </c>
      <c r="S24" s="28">
        <f t="shared" si="8"/>
        <v>5.7266044399999991</v>
      </c>
      <c r="T24" s="19">
        <f>HDD!B28</f>
        <v>652</v>
      </c>
      <c r="U24" s="19">
        <f>CDD!B28</f>
        <v>23</v>
      </c>
      <c r="W24" s="46">
        <f t="shared" si="9"/>
        <v>1604.1936712569589</v>
      </c>
      <c r="X24" s="42">
        <f t="shared" si="10"/>
        <v>2414.1237738060358</v>
      </c>
      <c r="Y24" s="56">
        <f t="shared" si="11"/>
        <v>3745.5837738060354</v>
      </c>
      <c r="Z24" s="42">
        <f t="shared" si="12"/>
        <v>5.4751130000000003</v>
      </c>
      <c r="AA24" s="42">
        <f t="shared" si="13"/>
        <v>8.2394044399999995</v>
      </c>
      <c r="AB24" s="56">
        <f t="shared" si="14"/>
        <v>12.783677419999998</v>
      </c>
    </row>
    <row r="25" spans="2:28">
      <c r="B25" s="1">
        <v>41000</v>
      </c>
      <c r="C25" s="3">
        <f>Gas!C22</f>
        <v>10</v>
      </c>
      <c r="D25" s="27">
        <f t="shared" si="3"/>
        <v>1</v>
      </c>
      <c r="E25" s="28">
        <f t="shared" si="0"/>
        <v>1.0469999999999999</v>
      </c>
      <c r="G25" s="28">
        <f t="shared" si="1"/>
        <v>292.99736302373282</v>
      </c>
      <c r="H25" s="28">
        <f t="shared" si="2"/>
        <v>306.76823908584822</v>
      </c>
      <c r="I25" s="28"/>
      <c r="J25" s="1">
        <v>41000</v>
      </c>
      <c r="K25" s="6">
        <f>Elec!B22</f>
        <v>359</v>
      </c>
      <c r="L25" s="6">
        <f>Elec!C22</f>
        <v>-150</v>
      </c>
      <c r="M25" s="19">
        <f t="shared" si="4"/>
        <v>789</v>
      </c>
      <c r="N25" s="6">
        <f>-(Elec!E22)</f>
        <v>580</v>
      </c>
      <c r="O25" s="19">
        <f>Elec!I22</f>
        <v>0</v>
      </c>
      <c r="P25" s="19">
        <f t="shared" si="5"/>
        <v>1278.06</v>
      </c>
      <c r="Q25" s="54">
        <f t="shared" si="6"/>
        <v>2635.2599999999998</v>
      </c>
      <c r="R25" s="28">
        <f t="shared" si="7"/>
        <v>2.6928570000000001</v>
      </c>
      <c r="S25" s="28">
        <f t="shared" si="8"/>
        <v>4.3620187799999997</v>
      </c>
      <c r="T25" s="19">
        <f>HDD!B29</f>
        <v>463</v>
      </c>
      <c r="U25" s="19">
        <f>CDD!B29</f>
        <v>26</v>
      </c>
      <c r="W25" s="46">
        <f t="shared" si="9"/>
        <v>1081.9973630237328</v>
      </c>
      <c r="X25" s="42">
        <f t="shared" si="10"/>
        <v>1584.8282390858481</v>
      </c>
      <c r="Y25" s="56">
        <f t="shared" si="11"/>
        <v>2942.0282390858479</v>
      </c>
      <c r="Z25" s="42">
        <f t="shared" si="12"/>
        <v>3.6928570000000001</v>
      </c>
      <c r="AA25" s="42">
        <f t="shared" si="13"/>
        <v>5.4090187799999994</v>
      </c>
      <c r="AB25" s="56">
        <f t="shared" si="14"/>
        <v>10.041142379999998</v>
      </c>
    </row>
    <row r="26" spans="2:28">
      <c r="B26" s="1">
        <v>41030</v>
      </c>
      <c r="C26" s="3">
        <f>Gas!C23</f>
        <v>5</v>
      </c>
      <c r="D26" s="27">
        <f t="shared" si="3"/>
        <v>0.5</v>
      </c>
      <c r="E26" s="28">
        <f t="shared" si="0"/>
        <v>0.52349999999999997</v>
      </c>
      <c r="G26" s="28">
        <f t="shared" si="1"/>
        <v>146.49868151186641</v>
      </c>
      <c r="H26" s="28">
        <f t="shared" si="2"/>
        <v>153.38411954292411</v>
      </c>
      <c r="I26" s="28"/>
      <c r="J26" s="1">
        <v>41030</v>
      </c>
      <c r="K26" s="6">
        <f>Elec!B23</f>
        <v>596</v>
      </c>
      <c r="L26" s="6">
        <f>Elec!C23</f>
        <v>-20</v>
      </c>
      <c r="M26" s="19">
        <f t="shared" si="4"/>
        <v>1253</v>
      </c>
      <c r="N26" s="6">
        <f>-(Elec!E23)</f>
        <v>677</v>
      </c>
      <c r="O26" s="19">
        <f>Elec!I23</f>
        <v>0</v>
      </c>
      <c r="P26" s="19">
        <f t="shared" si="5"/>
        <v>2600.84</v>
      </c>
      <c r="Q26" s="54">
        <f t="shared" si="6"/>
        <v>4185.0199999999995</v>
      </c>
      <c r="R26" s="28">
        <f t="shared" si="7"/>
        <v>4.2764889999999998</v>
      </c>
      <c r="S26" s="28">
        <f t="shared" si="8"/>
        <v>8.8766669199999999</v>
      </c>
      <c r="T26" s="19">
        <f>HDD!B30</f>
        <v>208</v>
      </c>
      <c r="U26" s="19">
        <f>CDD!B30</f>
        <v>60</v>
      </c>
      <c r="W26" s="46">
        <f t="shared" si="9"/>
        <v>1399.4986815118664</v>
      </c>
      <c r="X26" s="42">
        <f t="shared" si="10"/>
        <v>2754.2241195429242</v>
      </c>
      <c r="Y26" s="56">
        <f t="shared" si="11"/>
        <v>4338.4041195429236</v>
      </c>
      <c r="Z26" s="42">
        <f t="shared" si="12"/>
        <v>4.7764889999999998</v>
      </c>
      <c r="AA26" s="42">
        <f t="shared" si="13"/>
        <v>9.4001669200000002</v>
      </c>
      <c r="AB26" s="56">
        <f t="shared" si="14"/>
        <v>14.806973259999998</v>
      </c>
    </row>
    <row r="27" spans="2:28">
      <c r="B27" s="1">
        <v>41061</v>
      </c>
      <c r="C27" s="3">
        <f>Gas!C24</f>
        <v>1</v>
      </c>
      <c r="D27" s="27">
        <f t="shared" si="3"/>
        <v>0.1</v>
      </c>
      <c r="E27" s="28">
        <f t="shared" si="0"/>
        <v>0.1047</v>
      </c>
      <c r="G27" s="28">
        <f t="shared" si="1"/>
        <v>29.299736302373283</v>
      </c>
      <c r="H27" s="28">
        <f t="shared" si="2"/>
        <v>30.676823908584826</v>
      </c>
      <c r="I27" s="28"/>
      <c r="J27" s="1">
        <v>41061</v>
      </c>
      <c r="K27" s="6">
        <f>Elec!B24</f>
        <v>262</v>
      </c>
      <c r="L27" s="6">
        <f>Elec!C24</f>
        <v>-26</v>
      </c>
      <c r="M27" s="19">
        <f t="shared" si="4"/>
        <v>805</v>
      </c>
      <c r="N27" s="6">
        <f>-(Elec!E24)</f>
        <v>569</v>
      </c>
      <c r="O27" s="19">
        <f>Elec!I24</f>
        <v>0</v>
      </c>
      <c r="P27" s="19">
        <f t="shared" si="5"/>
        <v>1357.24</v>
      </c>
      <c r="Q27" s="54">
        <f t="shared" si="6"/>
        <v>2688.7</v>
      </c>
      <c r="R27" s="28">
        <f t="shared" si="7"/>
        <v>2.747465</v>
      </c>
      <c r="S27" s="28">
        <f t="shared" si="8"/>
        <v>4.6322601199999998</v>
      </c>
      <c r="T27" s="19">
        <f>HDD!B31</f>
        <v>121</v>
      </c>
      <c r="U27" s="19">
        <f>CDD!B31</f>
        <v>128</v>
      </c>
      <c r="W27" s="46">
        <f t="shared" si="9"/>
        <v>834.29973630237328</v>
      </c>
      <c r="X27" s="42">
        <f t="shared" si="10"/>
        <v>1387.9168239085848</v>
      </c>
      <c r="Y27" s="56">
        <f t="shared" si="11"/>
        <v>2719.3768239085848</v>
      </c>
      <c r="Z27" s="42">
        <f t="shared" si="12"/>
        <v>2.8474650000000001</v>
      </c>
      <c r="AA27" s="42">
        <f t="shared" si="13"/>
        <v>4.73696012</v>
      </c>
      <c r="AB27" s="56">
        <f t="shared" si="14"/>
        <v>9.2812330999999997</v>
      </c>
    </row>
    <row r="28" spans="2:28">
      <c r="B28" s="1">
        <v>41091</v>
      </c>
      <c r="C28" s="3">
        <f>Gas!C25</f>
        <v>0</v>
      </c>
      <c r="D28" s="27">
        <f t="shared" si="3"/>
        <v>0</v>
      </c>
      <c r="E28" s="28">
        <f t="shared" si="0"/>
        <v>0</v>
      </c>
      <c r="G28" s="28">
        <f t="shared" si="1"/>
        <v>0</v>
      </c>
      <c r="H28" s="28">
        <f t="shared" si="2"/>
        <v>0</v>
      </c>
      <c r="I28" s="28"/>
      <c r="J28" s="1">
        <v>41091</v>
      </c>
      <c r="K28" s="6">
        <f>Elec!B25</f>
        <v>236</v>
      </c>
      <c r="L28" s="6">
        <f>Elec!C25</f>
        <v>216</v>
      </c>
      <c r="M28" s="19">
        <f t="shared" si="4"/>
        <v>1232</v>
      </c>
      <c r="N28" s="6">
        <f>-(Elec!E25)</f>
        <v>780</v>
      </c>
      <c r="O28" s="19">
        <f>Elec!I25</f>
        <v>0</v>
      </c>
      <c r="P28" s="19">
        <f t="shared" si="5"/>
        <v>2289.6799999999998</v>
      </c>
      <c r="Q28" s="55">
        <f t="shared" si="6"/>
        <v>4114.88</v>
      </c>
      <c r="R28" s="28">
        <f t="shared" si="7"/>
        <v>4.2048160000000001</v>
      </c>
      <c r="S28" s="28">
        <f t="shared" si="8"/>
        <v>7.814677839999999</v>
      </c>
      <c r="T28" s="19">
        <f>HDD!B32</f>
        <v>22</v>
      </c>
      <c r="U28" s="19">
        <f>CDD!B32</f>
        <v>291</v>
      </c>
      <c r="W28" s="48">
        <f t="shared" si="9"/>
        <v>1232</v>
      </c>
      <c r="X28" s="49">
        <f t="shared" si="10"/>
        <v>2289.6799999999998</v>
      </c>
      <c r="Y28" s="57">
        <f t="shared" si="11"/>
        <v>4114.88</v>
      </c>
      <c r="Z28" s="49">
        <f t="shared" si="12"/>
        <v>4.2048160000000001</v>
      </c>
      <c r="AA28" s="49">
        <f t="shared" si="13"/>
        <v>7.814677839999999</v>
      </c>
      <c r="AB28" s="57">
        <f t="shared" si="14"/>
        <v>14.04408544</v>
      </c>
    </row>
    <row r="29" spans="2:28" s="19" customFormat="1">
      <c r="B29" s="1"/>
      <c r="C29" s="3"/>
      <c r="D29" s="27"/>
      <c r="E29" s="28"/>
      <c r="G29" s="28"/>
      <c r="H29" s="28"/>
      <c r="I29" s="28"/>
      <c r="J29" s="1"/>
      <c r="K29" s="39"/>
      <c r="L29" s="39"/>
      <c r="N29" s="39"/>
      <c r="Q29" s="33"/>
      <c r="R29" s="28"/>
      <c r="S29" s="28"/>
      <c r="W29" s="42"/>
      <c r="X29" s="42"/>
      <c r="Y29" s="42"/>
      <c r="Z29" s="42"/>
      <c r="AA29" s="42"/>
      <c r="AB29" s="42"/>
    </row>
    <row r="30" spans="2:28" s="19" customFormat="1">
      <c r="B30" s="1"/>
      <c r="C30" s="3"/>
      <c r="D30" s="59" t="s">
        <v>66</v>
      </c>
      <c r="E30" s="28"/>
      <c r="G30" s="28"/>
      <c r="H30" s="28"/>
      <c r="I30" s="28"/>
      <c r="J30" s="1"/>
      <c r="K30" s="39"/>
      <c r="L30" s="39"/>
      <c r="N30" s="39"/>
      <c r="Q30" s="33"/>
      <c r="R30" s="28"/>
      <c r="S30" s="28"/>
      <c r="W30" s="42"/>
      <c r="X30" s="42"/>
      <c r="Y30" s="42"/>
      <c r="Z30" s="42"/>
      <c r="AA30" s="42"/>
      <c r="AB30" s="42"/>
    </row>
    <row r="31" spans="2:28" s="19" customFormat="1">
      <c r="B31" s="1"/>
      <c r="C31" s="3">
        <f>SUM(C17:C18,C27:C28)/4</f>
        <v>0.5</v>
      </c>
      <c r="D31" s="27">
        <f t="shared" ref="D31" si="15">C31*E$2</f>
        <v>0.05</v>
      </c>
      <c r="E31" s="61">
        <f t="shared" ref="E31" si="16">D31*E$5</f>
        <v>5.2350000000000001E-2</v>
      </c>
      <c r="F31" s="62"/>
      <c r="G31" s="61">
        <f t="shared" ref="G31" si="17">D31*E$1</f>
        <v>14.649868151186642</v>
      </c>
      <c r="H31" s="61">
        <f t="shared" ref="H31" si="18">E31*E$1</f>
        <v>15.338411954292413</v>
      </c>
      <c r="I31" s="61"/>
      <c r="J31" s="63"/>
      <c r="K31" s="64"/>
      <c r="L31" s="64"/>
      <c r="M31" s="65">
        <f>SUM(M32:M33)/2</f>
        <v>706.5</v>
      </c>
      <c r="N31" s="64"/>
      <c r="O31" s="62"/>
      <c r="P31" s="62"/>
      <c r="Q31" s="62">
        <f t="shared" ref="Q31" si="19">M31*E$4</f>
        <v>2359.71</v>
      </c>
      <c r="R31" s="28">
        <f t="shared" ref="R31" si="20">M31*E$3</f>
        <v>2.4112844999999998</v>
      </c>
      <c r="S31" s="61"/>
      <c r="T31" s="62"/>
      <c r="U31" s="62"/>
      <c r="V31" s="62"/>
      <c r="W31" s="48">
        <f t="shared" ref="W31" si="21">G31+M31</f>
        <v>721.14986815118664</v>
      </c>
      <c r="X31" s="61"/>
      <c r="Y31" s="61">
        <f t="shared" ref="Y31" si="22">H31+Q31</f>
        <v>2375.0484119542925</v>
      </c>
      <c r="Z31" s="66">
        <f>W31*E$3</f>
        <v>2.4612844999999997</v>
      </c>
      <c r="AA31" s="61"/>
      <c r="AB31" s="66">
        <f t="shared" ref="AB31" si="23">Y31*E$3</f>
        <v>8.1060402299999996</v>
      </c>
    </row>
    <row r="32" spans="2:28">
      <c r="B32" s="1"/>
      <c r="C32" s="3"/>
      <c r="D32" s="60"/>
      <c r="M32">
        <f>MIN(M17:M28)</f>
        <v>682</v>
      </c>
    </row>
    <row r="33" spans="2:28">
      <c r="B33" s="19"/>
      <c r="C33" s="6"/>
      <c r="D33" s="6"/>
      <c r="M33" s="19">
        <f>MIN(M19:M28,M17)</f>
        <v>731</v>
      </c>
      <c r="U33" s="29"/>
      <c r="V33" s="30"/>
      <c r="W33" s="30"/>
      <c r="X33" s="30"/>
      <c r="Y33" s="30"/>
      <c r="Z33" s="30"/>
      <c r="AA33" s="31"/>
    </row>
    <row r="34" spans="2:28">
      <c r="M34" s="19"/>
      <c r="U34" s="32"/>
      <c r="V34" s="33"/>
      <c r="W34" s="33" t="s">
        <v>24</v>
      </c>
      <c r="X34" s="33" t="s">
        <v>27</v>
      </c>
      <c r="Y34" s="53" t="s">
        <v>64</v>
      </c>
      <c r="Z34" s="33" t="s">
        <v>25</v>
      </c>
      <c r="AA34" s="34" t="s">
        <v>60</v>
      </c>
      <c r="AB34" s="58" t="s">
        <v>64</v>
      </c>
    </row>
    <row r="35" spans="2:28">
      <c r="U35" s="32"/>
      <c r="V35" s="33"/>
      <c r="W35" s="33"/>
      <c r="X35" s="33"/>
      <c r="Y35" s="54"/>
      <c r="Z35" s="33"/>
      <c r="AA35" s="34"/>
      <c r="AB35" s="54"/>
    </row>
    <row r="36" spans="2:28">
      <c r="C36">
        <f>SUM(C23:C28)</f>
        <v>84</v>
      </c>
      <c r="M36" s="19">
        <f>SUM(M23:M28)</f>
        <v>6017</v>
      </c>
      <c r="Q36" s="19"/>
      <c r="U36" s="32" t="s">
        <v>57</v>
      </c>
      <c r="V36" s="33"/>
      <c r="W36" s="42">
        <f>SUM(W11:W28)</f>
        <v>25991.316144154705</v>
      </c>
      <c r="X36" s="42">
        <f>SUM(X11:X28)</f>
        <v>41980.870002929973</v>
      </c>
      <c r="Y36" s="54"/>
      <c r="Z36" s="42">
        <f>SUM(Z11:Z28)</f>
        <v>88.708361999999994</v>
      </c>
      <c r="AA36" s="47">
        <f>SUM(AA11:AA28)</f>
        <v>143.28070931999997</v>
      </c>
      <c r="AB36" s="54"/>
    </row>
    <row r="37" spans="2:28">
      <c r="C37">
        <f>SUM(C17:C28)</f>
        <v>204</v>
      </c>
      <c r="M37" s="19">
        <f>SUM(M17:M28)</f>
        <v>11415</v>
      </c>
      <c r="Q37" s="19"/>
      <c r="U37" s="32"/>
      <c r="V37" s="33"/>
      <c r="W37" s="33"/>
      <c r="X37" s="33"/>
      <c r="Y37" s="54"/>
      <c r="Z37" s="33"/>
      <c r="AA37" s="34"/>
      <c r="AB37" s="54"/>
    </row>
    <row r="38" spans="2:28">
      <c r="U38" s="32" t="s">
        <v>58</v>
      </c>
      <c r="V38" s="33"/>
      <c r="W38" s="42">
        <f t="shared" ref="W38:AB38" si="24">SUM(W17:W28)</f>
        <v>17392.146205684148</v>
      </c>
      <c r="X38" s="42">
        <f t="shared" si="24"/>
        <v>28926.132077351303</v>
      </c>
      <c r="Y38" s="56">
        <f t="shared" si="24"/>
        <v>44384.172077351301</v>
      </c>
      <c r="Z38" s="42">
        <f t="shared" si="24"/>
        <v>59.359394999999999</v>
      </c>
      <c r="AA38" s="47">
        <f t="shared" si="24"/>
        <v>98.724888780000001</v>
      </c>
      <c r="AB38" s="56">
        <f t="shared" si="24"/>
        <v>151.48317930000002</v>
      </c>
    </row>
    <row r="39" spans="2:28">
      <c r="U39" s="32"/>
      <c r="V39" s="33"/>
      <c r="W39" s="33"/>
      <c r="X39" s="33"/>
      <c r="Y39" s="54"/>
      <c r="Z39" s="33"/>
      <c r="AA39" s="34"/>
      <c r="AB39" s="54"/>
    </row>
    <row r="40" spans="2:28">
      <c r="U40" s="35" t="s">
        <v>59</v>
      </c>
      <c r="V40" s="36"/>
      <c r="W40" s="49">
        <f t="shared" ref="W40:AB40" si="25">SUM(W23:W28)</f>
        <v>8478.1778493993552</v>
      </c>
      <c r="X40" s="49">
        <f t="shared" si="25"/>
        <v>13989.893208321126</v>
      </c>
      <c r="Y40" s="49">
        <f t="shared" si="25"/>
        <v>22673.633208321124</v>
      </c>
      <c r="Z40" s="49">
        <f t="shared" si="25"/>
        <v>28.936021000000004</v>
      </c>
      <c r="AA40" s="50">
        <f t="shared" si="25"/>
        <v>47.747505519999997</v>
      </c>
      <c r="AB40" s="50">
        <f t="shared" si="25"/>
        <v>77.385110139999995</v>
      </c>
    </row>
  </sheetData>
  <mergeCells count="1">
    <mergeCell ref="K7:L7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2"/>
  <sheetViews>
    <sheetView topLeftCell="A3" workbookViewId="0">
      <selection activeCell="B21" sqref="B21"/>
    </sheetView>
  </sheetViews>
  <sheetFormatPr defaultRowHeight="15"/>
  <cols>
    <col min="1" max="1" width="13.140625" bestFit="1" customWidth="1"/>
  </cols>
  <sheetData>
    <row r="1" spans="1:3">
      <c r="A1" s="9" t="s">
        <v>11</v>
      </c>
      <c r="B1" s="9" t="s">
        <v>12</v>
      </c>
      <c r="C1" s="9"/>
    </row>
    <row r="2" spans="1:3">
      <c r="A2" s="9" t="s">
        <v>13</v>
      </c>
      <c r="B2" s="9" t="s">
        <v>14</v>
      </c>
      <c r="C2" s="9"/>
    </row>
    <row r="3" spans="1:3">
      <c r="A3" s="9" t="s">
        <v>15</v>
      </c>
      <c r="B3" s="9" t="s">
        <v>16</v>
      </c>
      <c r="C3" s="9"/>
    </row>
    <row r="4" spans="1:3">
      <c r="A4" s="9" t="s">
        <v>17</v>
      </c>
      <c r="B4" s="9" t="s">
        <v>18</v>
      </c>
      <c r="C4" s="9"/>
    </row>
    <row r="5" spans="1:3">
      <c r="A5" s="9" t="s">
        <v>19</v>
      </c>
      <c r="B5" s="9" t="s">
        <v>20</v>
      </c>
      <c r="C5" s="9"/>
    </row>
    <row r="7" spans="1:3">
      <c r="A7" s="9" t="s">
        <v>21</v>
      </c>
      <c r="B7" s="9" t="s">
        <v>4</v>
      </c>
      <c r="C7" s="9" t="s">
        <v>22</v>
      </c>
    </row>
    <row r="8" spans="1:3" s="17" customFormat="1">
      <c r="A8" s="20">
        <v>40360</v>
      </c>
      <c r="B8" s="19">
        <v>22</v>
      </c>
    </row>
    <row r="9" spans="1:3" s="11" customFormat="1">
      <c r="A9" s="14">
        <v>40391</v>
      </c>
      <c r="B9" s="13">
        <v>44</v>
      </c>
    </row>
    <row r="10" spans="1:3">
      <c r="A10" s="10">
        <v>40422</v>
      </c>
      <c r="B10" s="9">
        <v>112</v>
      </c>
      <c r="C10" s="9"/>
    </row>
    <row r="11" spans="1:3">
      <c r="A11" s="10">
        <v>40452</v>
      </c>
      <c r="B11" s="9">
        <v>442</v>
      </c>
      <c r="C11" s="9"/>
    </row>
    <row r="12" spans="1:3">
      <c r="A12" s="10">
        <v>40483</v>
      </c>
      <c r="B12" s="9">
        <v>710</v>
      </c>
      <c r="C12" s="9"/>
    </row>
    <row r="13" spans="1:3">
      <c r="A13" s="10">
        <v>40513</v>
      </c>
      <c r="B13" s="9">
        <v>1110</v>
      </c>
      <c r="C13" s="9"/>
    </row>
    <row r="14" spans="1:3">
      <c r="A14" s="10">
        <v>40544</v>
      </c>
      <c r="B14" s="9">
        <v>1298</v>
      </c>
      <c r="C14" s="9"/>
    </row>
    <row r="15" spans="1:3">
      <c r="A15" s="10">
        <v>40575</v>
      </c>
      <c r="B15" s="9">
        <v>1070</v>
      </c>
      <c r="C15" s="9"/>
    </row>
    <row r="16" spans="1:3">
      <c r="A16" s="10">
        <v>40603</v>
      </c>
      <c r="B16" s="9">
        <v>885</v>
      </c>
      <c r="C16" s="9"/>
    </row>
    <row r="17" spans="1:3">
      <c r="A17" s="10">
        <v>40634</v>
      </c>
      <c r="B17" s="9">
        <v>502</v>
      </c>
      <c r="C17" s="9"/>
    </row>
    <row r="18" spans="1:3">
      <c r="A18" s="10">
        <v>40664</v>
      </c>
      <c r="B18" s="9">
        <v>268</v>
      </c>
      <c r="C18" s="9"/>
    </row>
    <row r="19" spans="1:3">
      <c r="A19" s="10">
        <v>40695</v>
      </c>
      <c r="B19" s="9">
        <v>113</v>
      </c>
      <c r="C19" s="9"/>
    </row>
    <row r="20" spans="1:3">
      <c r="A20" s="10">
        <v>40725</v>
      </c>
      <c r="B20" s="9">
        <v>20</v>
      </c>
      <c r="C20" s="9"/>
    </row>
    <row r="21" spans="1:3">
      <c r="A21" s="10">
        <v>40756</v>
      </c>
      <c r="B21" s="9">
        <v>31</v>
      </c>
      <c r="C21" s="9"/>
    </row>
    <row r="22" spans="1:3">
      <c r="A22" s="20">
        <v>40787</v>
      </c>
      <c r="B22">
        <v>108</v>
      </c>
      <c r="C22">
        <v>0</v>
      </c>
    </row>
    <row r="23" spans="1:3">
      <c r="A23" s="20">
        <v>40817</v>
      </c>
      <c r="B23">
        <v>418</v>
      </c>
      <c r="C23">
        <v>0</v>
      </c>
    </row>
    <row r="24" spans="1:3">
      <c r="A24" s="20">
        <v>40848</v>
      </c>
      <c r="B24">
        <v>563</v>
      </c>
      <c r="C24">
        <v>0.1</v>
      </c>
    </row>
    <row r="25" spans="1:3">
      <c r="A25" s="20">
        <v>40878</v>
      </c>
      <c r="B25">
        <v>882</v>
      </c>
      <c r="C25">
        <v>0</v>
      </c>
    </row>
    <row r="26" spans="1:3">
      <c r="A26" s="20">
        <v>40909</v>
      </c>
      <c r="B26">
        <v>1053</v>
      </c>
      <c r="C26">
        <v>0</v>
      </c>
    </row>
    <row r="27" spans="1:3">
      <c r="A27" s="20">
        <v>40940</v>
      </c>
      <c r="B27">
        <v>895</v>
      </c>
      <c r="C27">
        <v>0.03</v>
      </c>
    </row>
    <row r="28" spans="1:3">
      <c r="A28" s="20">
        <v>40969</v>
      </c>
      <c r="B28">
        <v>652</v>
      </c>
      <c r="C28">
        <v>0</v>
      </c>
    </row>
    <row r="29" spans="1:3">
      <c r="A29" s="20">
        <v>41000</v>
      </c>
      <c r="B29">
        <v>463</v>
      </c>
      <c r="C29">
        <v>0.03</v>
      </c>
    </row>
    <row r="30" spans="1:3">
      <c r="A30" s="20">
        <v>41030</v>
      </c>
      <c r="B30">
        <v>208</v>
      </c>
      <c r="C30">
        <v>0.06</v>
      </c>
    </row>
    <row r="31" spans="1:3">
      <c r="A31" s="20">
        <v>41061</v>
      </c>
      <c r="B31">
        <v>121</v>
      </c>
      <c r="C31">
        <v>7.0000000000000007E-2</v>
      </c>
    </row>
    <row r="32" spans="1:3">
      <c r="A32" s="20">
        <v>41091</v>
      </c>
      <c r="B32">
        <v>22</v>
      </c>
      <c r="C32">
        <v>0.1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2"/>
  <sheetViews>
    <sheetView topLeftCell="A3" workbookViewId="0">
      <selection activeCell="A22" sqref="A22:C32"/>
    </sheetView>
  </sheetViews>
  <sheetFormatPr defaultRowHeight="15"/>
  <cols>
    <col min="1" max="1" width="13.140625" bestFit="1" customWidth="1"/>
  </cols>
  <sheetData>
    <row r="1" spans="1:3">
      <c r="A1" s="11" t="s">
        <v>11</v>
      </c>
      <c r="B1" s="11" t="s">
        <v>23</v>
      </c>
      <c r="C1" s="11"/>
    </row>
    <row r="2" spans="1:3">
      <c r="A2" s="11" t="s">
        <v>13</v>
      </c>
      <c r="B2" s="11" t="s">
        <v>14</v>
      </c>
      <c r="C2" s="11"/>
    </row>
    <row r="3" spans="1:3">
      <c r="A3" s="11" t="s">
        <v>15</v>
      </c>
      <c r="B3" s="11" t="s">
        <v>16</v>
      </c>
      <c r="C3" s="11"/>
    </row>
    <row r="4" spans="1:3">
      <c r="A4" s="11" t="s">
        <v>17</v>
      </c>
      <c r="B4" s="11" t="s">
        <v>18</v>
      </c>
      <c r="C4" s="11"/>
    </row>
    <row r="5" spans="1:3">
      <c r="A5" s="11" t="s">
        <v>19</v>
      </c>
      <c r="B5" s="11" t="s">
        <v>20</v>
      </c>
      <c r="C5" s="11"/>
    </row>
    <row r="7" spans="1:3">
      <c r="A7" s="11" t="s">
        <v>21</v>
      </c>
      <c r="B7" s="11" t="s">
        <v>10</v>
      </c>
      <c r="C7" s="11" t="s">
        <v>22</v>
      </c>
    </row>
    <row r="8" spans="1:3" s="15" customFormat="1">
      <c r="A8" s="18">
        <v>40360</v>
      </c>
      <c r="B8" s="17">
        <v>360</v>
      </c>
    </row>
    <row r="9" spans="1:3" s="13" customFormat="1">
      <c r="A9" s="16">
        <v>40391</v>
      </c>
      <c r="B9" s="15">
        <v>263</v>
      </c>
    </row>
    <row r="10" spans="1:3">
      <c r="A10" s="12">
        <v>40422</v>
      </c>
      <c r="B10" s="11">
        <v>128</v>
      </c>
      <c r="C10" s="11">
        <v>0</v>
      </c>
    </row>
    <row r="11" spans="1:3">
      <c r="A11" s="12">
        <v>40452</v>
      </c>
      <c r="B11" s="11">
        <v>14</v>
      </c>
      <c r="C11" s="11">
        <v>0.3</v>
      </c>
    </row>
    <row r="12" spans="1:3">
      <c r="A12" s="12">
        <v>40483</v>
      </c>
      <c r="B12" s="11">
        <v>0</v>
      </c>
      <c r="C12" s="11">
        <v>0</v>
      </c>
    </row>
    <row r="13" spans="1:3">
      <c r="A13" s="12">
        <v>40513</v>
      </c>
      <c r="B13" s="11">
        <v>0</v>
      </c>
      <c r="C13" s="11">
        <v>0.7</v>
      </c>
    </row>
    <row r="14" spans="1:3">
      <c r="A14" s="12">
        <v>40544</v>
      </c>
      <c r="B14" s="11">
        <v>0</v>
      </c>
      <c r="C14" s="11">
        <v>0</v>
      </c>
    </row>
    <row r="15" spans="1:3">
      <c r="A15" s="12">
        <v>40575</v>
      </c>
      <c r="B15" s="11">
        <v>0</v>
      </c>
      <c r="C15" s="11">
        <v>0</v>
      </c>
    </row>
    <row r="16" spans="1:3">
      <c r="A16" s="12">
        <v>40603</v>
      </c>
      <c r="B16" s="11">
        <v>0</v>
      </c>
      <c r="C16" s="11">
        <v>0</v>
      </c>
    </row>
    <row r="17" spans="1:3">
      <c r="A17" s="12">
        <v>40634</v>
      </c>
      <c r="B17" s="11">
        <v>12</v>
      </c>
      <c r="C17" s="11">
        <v>0</v>
      </c>
    </row>
    <row r="18" spans="1:3">
      <c r="A18" s="12">
        <v>40664</v>
      </c>
      <c r="B18" s="11">
        <v>63</v>
      </c>
      <c r="C18" s="11">
        <v>0</v>
      </c>
    </row>
    <row r="19" spans="1:3">
      <c r="A19" s="12">
        <v>40695</v>
      </c>
      <c r="B19" s="11">
        <v>122</v>
      </c>
      <c r="C19" s="11">
        <v>0</v>
      </c>
    </row>
    <row r="20" spans="1:3">
      <c r="A20" s="12">
        <v>40725</v>
      </c>
      <c r="B20" s="11">
        <v>309</v>
      </c>
      <c r="C20" s="11">
        <v>0</v>
      </c>
    </row>
    <row r="21" spans="1:3">
      <c r="A21" s="12">
        <v>40756</v>
      </c>
      <c r="B21" s="11">
        <v>202</v>
      </c>
      <c r="C21" s="11">
        <v>0.5</v>
      </c>
    </row>
    <row r="22" spans="1:3">
      <c r="A22" s="20">
        <v>40787</v>
      </c>
      <c r="B22">
        <v>105</v>
      </c>
      <c r="C22">
        <v>0</v>
      </c>
    </row>
    <row r="23" spans="1:3">
      <c r="A23" s="20">
        <v>40817</v>
      </c>
      <c r="B23">
        <v>15</v>
      </c>
      <c r="C23">
        <v>0</v>
      </c>
    </row>
    <row r="24" spans="1:3">
      <c r="A24" s="20">
        <v>40848</v>
      </c>
      <c r="B24">
        <v>2</v>
      </c>
      <c r="C24">
        <v>0.1</v>
      </c>
    </row>
    <row r="25" spans="1:3">
      <c r="A25" s="20">
        <v>40878</v>
      </c>
      <c r="B25">
        <v>0</v>
      </c>
      <c r="C25">
        <v>0</v>
      </c>
    </row>
    <row r="26" spans="1:3">
      <c r="A26" s="20">
        <v>40909</v>
      </c>
      <c r="B26">
        <v>0</v>
      </c>
      <c r="C26">
        <v>0</v>
      </c>
    </row>
    <row r="27" spans="1:3">
      <c r="A27" s="20">
        <v>40940</v>
      </c>
      <c r="B27">
        <v>0</v>
      </c>
      <c r="C27">
        <v>0.03</v>
      </c>
    </row>
    <row r="28" spans="1:3">
      <c r="A28" s="20">
        <v>40969</v>
      </c>
      <c r="B28">
        <v>23</v>
      </c>
      <c r="C28">
        <v>0</v>
      </c>
    </row>
    <row r="29" spans="1:3">
      <c r="A29" s="20">
        <v>41000</v>
      </c>
      <c r="B29">
        <v>26</v>
      </c>
      <c r="C29">
        <v>0.03</v>
      </c>
    </row>
    <row r="30" spans="1:3">
      <c r="A30" s="20">
        <v>41030</v>
      </c>
      <c r="B30">
        <v>60</v>
      </c>
      <c r="C30">
        <v>0.06</v>
      </c>
    </row>
    <row r="31" spans="1:3">
      <c r="A31" s="20">
        <v>41061</v>
      </c>
      <c r="B31">
        <v>128</v>
      </c>
      <c r="C31">
        <v>7.0000000000000007E-2</v>
      </c>
    </row>
    <row r="32" spans="1:3">
      <c r="A32" s="20">
        <v>41091</v>
      </c>
      <c r="B32">
        <v>291</v>
      </c>
      <c r="C32">
        <v>0.1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75"/>
  <sheetViews>
    <sheetView topLeftCell="A5" workbookViewId="0">
      <selection activeCell="N24" sqref="N24"/>
    </sheetView>
  </sheetViews>
  <sheetFormatPr defaultRowHeight="15"/>
  <cols>
    <col min="4" max="5" width="9.140625" style="19"/>
    <col min="14" max="14" width="9.5703125" bestFit="1" customWidth="1"/>
    <col min="15" max="15" width="10.140625" bestFit="1" customWidth="1"/>
  </cols>
  <sheetData>
    <row r="1" spans="1:30" ht="20.25">
      <c r="A1" s="68" t="s">
        <v>89</v>
      </c>
      <c r="B1" s="69"/>
      <c r="C1" s="70"/>
      <c r="D1" s="70"/>
      <c r="E1" s="70"/>
      <c r="F1" s="71"/>
      <c r="G1" s="71"/>
      <c r="H1" s="71"/>
      <c r="I1" s="71"/>
      <c r="J1" s="72"/>
      <c r="K1" s="73"/>
      <c r="L1" s="74"/>
      <c r="M1" s="75"/>
      <c r="N1" s="75"/>
      <c r="O1" s="75"/>
      <c r="P1" s="75"/>
      <c r="Q1" s="75"/>
      <c r="R1" s="75"/>
      <c r="S1" s="75"/>
      <c r="T1" s="75"/>
      <c r="U1" s="75"/>
      <c r="V1" s="76"/>
      <c r="W1" s="76"/>
      <c r="X1" s="76"/>
      <c r="Y1" s="76"/>
      <c r="Z1" s="76"/>
      <c r="AA1" s="76"/>
      <c r="AB1" s="76"/>
      <c r="AC1" s="76"/>
      <c r="AD1" s="76"/>
    </row>
    <row r="2" spans="1:30" ht="20.25">
      <c r="A2" s="68"/>
      <c r="B2" s="77"/>
      <c r="C2" s="70"/>
      <c r="D2" s="70"/>
      <c r="E2" s="70"/>
      <c r="F2" s="71"/>
      <c r="G2" s="71"/>
      <c r="H2" s="78"/>
      <c r="I2" s="78"/>
      <c r="J2" s="72"/>
      <c r="K2" s="73"/>
      <c r="L2" s="74"/>
      <c r="M2" s="75"/>
      <c r="N2" s="75"/>
      <c r="O2" s="75"/>
      <c r="P2" s="75"/>
      <c r="Q2" s="75"/>
      <c r="R2" s="75"/>
      <c r="S2" s="75"/>
      <c r="T2" s="75"/>
      <c r="U2" s="75"/>
      <c r="V2" s="76"/>
      <c r="W2" s="76"/>
      <c r="X2" s="76"/>
      <c r="Y2" s="76"/>
      <c r="Z2" s="76"/>
      <c r="AA2" s="76"/>
      <c r="AB2" s="76"/>
      <c r="AC2" s="76"/>
      <c r="AD2" s="76"/>
    </row>
    <row r="3" spans="1:30" ht="20.25">
      <c r="A3" s="68"/>
      <c r="B3" s="77"/>
      <c r="C3" s="70"/>
      <c r="D3" s="70"/>
      <c r="E3" s="70"/>
      <c r="F3" s="71"/>
      <c r="G3" s="71"/>
      <c r="H3" s="78"/>
      <c r="I3" s="78"/>
      <c r="J3" s="72"/>
      <c r="K3" s="73"/>
      <c r="L3" s="74"/>
      <c r="M3" s="75"/>
      <c r="N3" s="75"/>
      <c r="O3" s="75"/>
      <c r="P3" s="75"/>
      <c r="Q3" s="75"/>
      <c r="R3" s="75"/>
      <c r="S3" s="75"/>
      <c r="T3" s="75"/>
      <c r="U3" s="75"/>
      <c r="V3" s="76"/>
      <c r="W3" s="76"/>
      <c r="X3" s="76"/>
      <c r="Y3" s="76"/>
      <c r="Z3" s="76"/>
      <c r="AA3" s="76"/>
      <c r="AB3" s="76"/>
      <c r="AC3" s="76"/>
      <c r="AD3" s="76"/>
    </row>
    <row r="4" spans="1:30">
      <c r="A4" s="76"/>
      <c r="B4" s="79"/>
      <c r="C4" s="80" t="s">
        <v>95</v>
      </c>
      <c r="D4" s="80"/>
      <c r="E4" s="80"/>
      <c r="F4" s="81" t="str">
        <f>HDD!B4</f>
        <v>BEDFORD HANSCOM FIELD, MA, US (71.29W,42.47N)</v>
      </c>
      <c r="G4" s="81"/>
      <c r="H4" s="71"/>
      <c r="I4" s="71"/>
      <c r="J4" s="131" t="s">
        <v>93</v>
      </c>
      <c r="K4" s="131"/>
      <c r="L4" s="131"/>
      <c r="M4" s="75"/>
      <c r="N4" s="75"/>
      <c r="O4" s="75"/>
      <c r="P4" s="75"/>
      <c r="Q4" s="75"/>
      <c r="R4" s="75"/>
      <c r="S4" s="75"/>
      <c r="T4" s="75"/>
      <c r="U4" s="75"/>
      <c r="V4" s="76"/>
      <c r="W4" s="76"/>
      <c r="X4" s="76"/>
      <c r="Y4" s="76"/>
      <c r="Z4" s="76"/>
      <c r="AA4" s="76"/>
      <c r="AB4" s="76"/>
      <c r="AC4" s="76"/>
      <c r="AD4" s="76"/>
    </row>
    <row r="5" spans="1:30" ht="26.25">
      <c r="A5" s="82" t="s">
        <v>90</v>
      </c>
      <c r="B5" s="83" t="s">
        <v>86</v>
      </c>
      <c r="C5" s="84" t="s">
        <v>96</v>
      </c>
      <c r="D5" s="84"/>
      <c r="E5" s="84"/>
      <c r="F5" s="85" t="s">
        <v>87</v>
      </c>
      <c r="G5" s="86" t="s">
        <v>88</v>
      </c>
      <c r="H5" s="87"/>
      <c r="I5" s="87"/>
      <c r="J5" s="88"/>
      <c r="K5" s="88" t="s">
        <v>91</v>
      </c>
      <c r="L5" s="88" t="s">
        <v>92</v>
      </c>
      <c r="M5" s="89"/>
      <c r="N5" s="89"/>
      <c r="O5" s="89"/>
      <c r="P5" s="89"/>
      <c r="Q5" s="89"/>
      <c r="R5" s="89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</row>
    <row r="6" spans="1:30">
      <c r="A6" s="76"/>
      <c r="B6" s="79"/>
      <c r="C6" s="70" t="s">
        <v>94</v>
      </c>
      <c r="D6" s="70" t="s">
        <v>44</v>
      </c>
      <c r="E6" s="70" t="s">
        <v>46</v>
      </c>
      <c r="F6" s="72"/>
      <c r="G6" s="73"/>
      <c r="H6" s="74"/>
      <c r="I6" s="74"/>
      <c r="J6" s="75"/>
      <c r="K6" s="75"/>
      <c r="L6" s="75"/>
      <c r="M6" s="75" t="s">
        <v>97</v>
      </c>
      <c r="N6" s="75" t="s">
        <v>97</v>
      </c>
      <c r="O6" s="75" t="s">
        <v>100</v>
      </c>
      <c r="P6" s="75"/>
      <c r="Q6" s="75"/>
      <c r="R6" s="75"/>
      <c r="S6" s="76"/>
      <c r="T6" s="76"/>
      <c r="U6" s="90"/>
      <c r="V6" s="76"/>
      <c r="W6" s="76"/>
      <c r="X6" s="76"/>
      <c r="Y6" s="76"/>
      <c r="Z6" s="76"/>
      <c r="AA6" s="76"/>
      <c r="AB6" s="76"/>
      <c r="AC6" s="76"/>
      <c r="AD6" s="76"/>
    </row>
    <row r="7" spans="1:30">
      <c r="A7" s="91"/>
      <c r="B7" s="79"/>
      <c r="C7" s="70"/>
      <c r="D7" s="70"/>
      <c r="E7" s="70"/>
      <c r="F7" s="92"/>
      <c r="G7" s="92"/>
      <c r="H7" s="71"/>
      <c r="I7" s="71"/>
      <c r="J7" s="93"/>
      <c r="K7" s="94"/>
      <c r="L7" s="94"/>
      <c r="M7" s="94" t="s">
        <v>98</v>
      </c>
      <c r="N7" s="75" t="s">
        <v>99</v>
      </c>
      <c r="O7" s="95" t="s">
        <v>101</v>
      </c>
      <c r="P7" s="33"/>
      <c r="Q7" s="33"/>
      <c r="R7" s="75"/>
      <c r="S7" s="76"/>
      <c r="T7" s="71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1:30">
      <c r="A8" s="96">
        <f>'Energy Use'!B16</f>
        <v>40735</v>
      </c>
      <c r="B8" s="97"/>
      <c r="C8" s="98">
        <v>0</v>
      </c>
      <c r="D8" s="98">
        <v>0</v>
      </c>
      <c r="E8" s="98">
        <f>'Energy Use'!G16</f>
        <v>0</v>
      </c>
      <c r="F8" s="99">
        <f>CDD!B20</f>
        <v>309</v>
      </c>
      <c r="G8" s="99">
        <f>HDD!B20</f>
        <v>20</v>
      </c>
      <c r="H8" s="111"/>
      <c r="I8" s="100"/>
      <c r="J8" s="99"/>
      <c r="K8" s="101">
        <v>284</v>
      </c>
      <c r="L8" s="101">
        <v>3</v>
      </c>
      <c r="M8" s="95"/>
      <c r="N8" s="75"/>
      <c r="O8" s="102"/>
      <c r="P8" s="33"/>
      <c r="Q8" s="33"/>
      <c r="R8" s="75"/>
      <c r="S8" s="75"/>
      <c r="T8" s="75"/>
      <c r="U8" s="75"/>
      <c r="V8" s="76"/>
      <c r="W8" s="71"/>
      <c r="X8" s="76"/>
      <c r="Y8" s="76"/>
      <c r="Z8" s="76"/>
      <c r="AA8" s="76"/>
      <c r="AB8" s="76"/>
      <c r="AC8" s="76"/>
      <c r="AD8" s="76"/>
    </row>
    <row r="9" spans="1:30">
      <c r="A9" s="96">
        <f>'Energy Use'!B17</f>
        <v>40766</v>
      </c>
      <c r="B9" s="79"/>
      <c r="C9" s="114"/>
      <c r="D9" s="114">
        <f>'Energy Use'!S17</f>
        <v>2.4949029999999999</v>
      </c>
      <c r="E9" s="114">
        <f>'Energy Use'!D17</f>
        <v>0.1</v>
      </c>
      <c r="F9" s="99">
        <f>CDD!B21</f>
        <v>202</v>
      </c>
      <c r="G9" s="99">
        <f>HDD!B21</f>
        <v>31</v>
      </c>
      <c r="H9" s="111"/>
      <c r="I9" s="104"/>
      <c r="J9" s="103"/>
      <c r="K9" s="95">
        <v>193</v>
      </c>
      <c r="L9" s="95">
        <v>5</v>
      </c>
      <c r="M9" s="115">
        <f>0.0052*L9-0.6505</f>
        <v>-0.62449999999999994</v>
      </c>
      <c r="N9" s="116">
        <f>D9+M9</f>
        <v>1.870403</v>
      </c>
      <c r="O9" s="119">
        <f>M9*'Energy Use'!$E$5+D9*'Energy Use'!$E$4</f>
        <v>7.6791245199999985</v>
      </c>
      <c r="P9" s="8"/>
      <c r="Q9" s="8"/>
      <c r="R9" s="75"/>
      <c r="S9" s="75"/>
      <c r="T9" s="75"/>
      <c r="U9" s="75"/>
      <c r="V9" s="76"/>
      <c r="W9" s="76"/>
      <c r="X9" s="76"/>
      <c r="Y9" s="76"/>
      <c r="Z9" s="76"/>
      <c r="AA9" s="76"/>
      <c r="AB9" s="76"/>
      <c r="AC9" s="76"/>
      <c r="AD9" s="76"/>
    </row>
    <row r="10" spans="1:30">
      <c r="A10" s="96">
        <f>'Energy Use'!B18</f>
        <v>40797</v>
      </c>
      <c r="B10" s="79"/>
      <c r="C10" s="114"/>
      <c r="D10" s="114">
        <f>'Energy Use'!S18</f>
        <v>2.3276659999999998</v>
      </c>
      <c r="E10" s="114">
        <f>'Energy Use'!D18</f>
        <v>0</v>
      </c>
      <c r="F10" s="99">
        <f>CDD!B22</f>
        <v>105</v>
      </c>
      <c r="G10" s="99">
        <f>HDD!B22</f>
        <v>108</v>
      </c>
      <c r="H10" s="111"/>
      <c r="I10" s="104"/>
      <c r="J10" s="103"/>
      <c r="K10" s="95">
        <v>53</v>
      </c>
      <c r="L10" s="95">
        <v>66</v>
      </c>
      <c r="M10" s="115">
        <f t="shared" ref="M10:M20" si="0">0.0052*L10-0.6505</f>
        <v>-0.30729999999999996</v>
      </c>
      <c r="N10" s="116">
        <f t="shared" ref="N10:N20" si="1">D10+M10</f>
        <v>2.0203659999999997</v>
      </c>
      <c r="O10" s="119">
        <f>M10*'Energy Use'!$E$5+D10*'Energy Use'!$E$4</f>
        <v>7.4526613399999988</v>
      </c>
      <c r="P10" s="8"/>
      <c r="Q10" s="8"/>
      <c r="R10" s="75"/>
      <c r="S10" s="75"/>
      <c r="T10" s="75"/>
      <c r="U10" s="75"/>
      <c r="V10" s="76"/>
      <c r="W10" s="76"/>
      <c r="X10" s="76"/>
      <c r="Y10" s="76"/>
      <c r="Z10" s="76"/>
      <c r="AA10" s="76"/>
      <c r="AB10" s="76"/>
      <c r="AC10" s="76"/>
      <c r="AD10" s="76"/>
    </row>
    <row r="11" spans="1:30">
      <c r="A11" s="96">
        <f>'Energy Use'!B19</f>
        <v>40827</v>
      </c>
      <c r="B11" s="79"/>
      <c r="C11" s="114"/>
      <c r="D11" s="114">
        <f>'Energy Use'!S19</f>
        <v>2.9147019999999997</v>
      </c>
      <c r="E11" s="114">
        <f>'Energy Use'!D19</f>
        <v>0.8</v>
      </c>
      <c r="F11" s="99">
        <f>CDD!B23</f>
        <v>15</v>
      </c>
      <c r="G11" s="99">
        <f>HDD!B23</f>
        <v>418</v>
      </c>
      <c r="H11" s="111"/>
      <c r="I11" s="71"/>
      <c r="J11" s="92"/>
      <c r="K11" s="94">
        <v>9</v>
      </c>
      <c r="L11" s="94">
        <v>348</v>
      </c>
      <c r="M11" s="115">
        <f t="shared" si="0"/>
        <v>1.1591</v>
      </c>
      <c r="N11" s="116">
        <f t="shared" si="1"/>
        <v>4.0738019999999997</v>
      </c>
      <c r="O11" s="119">
        <f>M11*'Energy Use'!$E$5+D11*'Energy Use'!$E$4</f>
        <v>10.948682379999999</v>
      </c>
      <c r="P11" s="8"/>
      <c r="Q11" s="8"/>
      <c r="R11" s="75"/>
      <c r="S11" s="75"/>
      <c r="T11" s="75"/>
      <c r="U11" s="75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>
      <c r="A12" s="96">
        <f>'Energy Use'!B20</f>
        <v>40858</v>
      </c>
      <c r="B12" s="79"/>
      <c r="C12" s="114"/>
      <c r="D12" s="114">
        <f>'Energy Use'!S20</f>
        <v>3.2457629999999997</v>
      </c>
      <c r="E12" s="114">
        <f>'Energy Use'!D20</f>
        <v>1.3</v>
      </c>
      <c r="F12" s="99">
        <f>CDD!B24</f>
        <v>2</v>
      </c>
      <c r="G12" s="99">
        <f>HDD!B24</f>
        <v>563</v>
      </c>
      <c r="H12" s="111"/>
      <c r="I12" s="71"/>
      <c r="J12" s="92"/>
      <c r="K12" s="94">
        <v>0</v>
      </c>
      <c r="L12" s="94">
        <v>652</v>
      </c>
      <c r="M12" s="115">
        <f t="shared" si="0"/>
        <v>2.7398999999999996</v>
      </c>
      <c r="N12" s="116">
        <f t="shared" si="1"/>
        <v>5.9856629999999988</v>
      </c>
      <c r="O12" s="119">
        <f>M12*'Energy Use'!$E$5+D12*'Energy Use'!$E$4</f>
        <v>13.709523719999998</v>
      </c>
      <c r="P12" s="8"/>
      <c r="Q12" s="8"/>
      <c r="R12" s="75"/>
      <c r="S12" s="75"/>
      <c r="T12" s="75"/>
      <c r="U12" s="75"/>
      <c r="V12" s="70"/>
      <c r="W12" s="70"/>
      <c r="X12" s="76"/>
      <c r="Y12" s="76"/>
      <c r="Z12" s="76"/>
      <c r="AA12" s="76"/>
      <c r="AB12" s="76"/>
      <c r="AC12" s="76"/>
      <c r="AD12" s="76"/>
    </row>
    <row r="13" spans="1:30">
      <c r="A13" s="96">
        <f>'Energy Use'!B21</f>
        <v>40888</v>
      </c>
      <c r="B13" s="79"/>
      <c r="C13" s="114"/>
      <c r="D13" s="114">
        <f>'Energy Use'!S21</f>
        <v>3.7269959999999998</v>
      </c>
      <c r="E13" s="114">
        <f>'Energy Use'!D21</f>
        <v>4.3</v>
      </c>
      <c r="F13" s="99">
        <f>CDD!B25</f>
        <v>0</v>
      </c>
      <c r="G13" s="99">
        <f>HDD!B25</f>
        <v>882</v>
      </c>
      <c r="H13" s="111"/>
      <c r="I13" s="71"/>
      <c r="J13" s="92"/>
      <c r="K13" s="94">
        <v>0</v>
      </c>
      <c r="L13" s="94">
        <v>902</v>
      </c>
      <c r="M13" s="115">
        <f t="shared" si="0"/>
        <v>4.0398999999999994</v>
      </c>
      <c r="N13" s="116">
        <f t="shared" si="1"/>
        <v>7.7668959999999991</v>
      </c>
      <c r="O13" s="119">
        <f>M13*'Energy Use'!$E$5+D13*'Energy Use'!$E$4</f>
        <v>16.677941939999997</v>
      </c>
      <c r="P13" s="8"/>
      <c r="Q13" s="8"/>
      <c r="R13" s="75"/>
      <c r="S13" s="75"/>
      <c r="T13" s="75"/>
      <c r="U13" s="75"/>
      <c r="V13" s="76"/>
      <c r="W13" s="76"/>
      <c r="X13" s="76"/>
      <c r="Y13" s="76"/>
      <c r="Z13" s="76"/>
      <c r="AA13" s="76"/>
      <c r="AB13" s="76"/>
      <c r="AC13" s="76"/>
      <c r="AD13" s="76"/>
    </row>
    <row r="14" spans="1:30">
      <c r="A14" s="96">
        <f>'Energy Use'!B22</f>
        <v>40920</v>
      </c>
      <c r="B14" s="79"/>
      <c r="C14" s="114"/>
      <c r="D14" s="114">
        <f>'Energy Use'!S22</f>
        <v>3.7133439999999998</v>
      </c>
      <c r="E14" s="114">
        <f>'Energy Use'!D22</f>
        <v>5.5</v>
      </c>
      <c r="F14" s="99">
        <f>CDD!B26</f>
        <v>0</v>
      </c>
      <c r="G14" s="99">
        <f>HDD!B26</f>
        <v>1053</v>
      </c>
      <c r="H14" s="111"/>
      <c r="I14" s="71"/>
      <c r="J14" s="92"/>
      <c r="K14" s="94">
        <v>0</v>
      </c>
      <c r="L14" s="94">
        <v>1189</v>
      </c>
      <c r="M14" s="115">
        <f t="shared" si="0"/>
        <v>5.5322999999999993</v>
      </c>
      <c r="N14" s="116">
        <f t="shared" si="1"/>
        <v>9.2456439999999986</v>
      </c>
      <c r="O14" s="119">
        <f>M14*'Energy Use'!$E$5+D14*'Energy Use'!$E$4</f>
        <v>18.194887059999999</v>
      </c>
      <c r="P14" s="8"/>
      <c r="Q14" s="8"/>
      <c r="R14" s="75"/>
      <c r="S14" s="75"/>
      <c r="T14" s="75"/>
      <c r="U14" s="75"/>
      <c r="V14" s="76"/>
      <c r="W14" s="76"/>
      <c r="X14" s="76"/>
      <c r="Y14" s="76"/>
      <c r="Z14" s="76"/>
      <c r="AA14" s="76"/>
      <c r="AB14" s="76"/>
      <c r="AC14" s="76"/>
      <c r="AD14" s="76"/>
    </row>
    <row r="15" spans="1:30">
      <c r="A15" s="96">
        <f>'Energy Use'!B23</f>
        <v>40940</v>
      </c>
      <c r="B15" s="79"/>
      <c r="C15" s="114"/>
      <c r="D15" s="114">
        <f>'Energy Use'!S23</f>
        <v>3.5392809999999999</v>
      </c>
      <c r="E15" s="114">
        <f>'Energy Use'!D23</f>
        <v>4.4000000000000004</v>
      </c>
      <c r="F15" s="99">
        <f>CDD!B27</f>
        <v>0</v>
      </c>
      <c r="G15" s="99">
        <f>HDD!B27</f>
        <v>895</v>
      </c>
      <c r="H15" s="111"/>
      <c r="I15" s="71"/>
      <c r="J15" s="92"/>
      <c r="K15" s="94">
        <v>0</v>
      </c>
      <c r="L15" s="94">
        <v>950</v>
      </c>
      <c r="M15" s="115">
        <f t="shared" si="0"/>
        <v>4.2894999999999994</v>
      </c>
      <c r="N15" s="116">
        <f t="shared" si="1"/>
        <v>7.8287809999999993</v>
      </c>
      <c r="O15" s="119">
        <f>M15*'Energy Use'!$E$5+D15*'Energy Use'!$E$4</f>
        <v>16.312305039999998</v>
      </c>
      <c r="P15" s="8"/>
      <c r="Q15" s="8"/>
      <c r="R15" s="75"/>
      <c r="S15" s="75"/>
      <c r="T15" s="75"/>
      <c r="U15" s="75"/>
      <c r="V15" s="76"/>
      <c r="W15" s="76"/>
      <c r="X15" s="76"/>
      <c r="Y15" s="76"/>
      <c r="Z15" s="76"/>
      <c r="AA15" s="76"/>
      <c r="AB15" s="76"/>
      <c r="AC15" s="76"/>
      <c r="AD15" s="76"/>
    </row>
    <row r="16" spans="1:30">
      <c r="A16" s="96">
        <f>'Energy Use'!B24</f>
        <v>40969</v>
      </c>
      <c r="B16" s="79"/>
      <c r="C16" s="114"/>
      <c r="D16" s="114">
        <f>'Energy Use'!S24</f>
        <v>3.075113</v>
      </c>
      <c r="E16" s="114">
        <f>'Energy Use'!D24</f>
        <v>2.4000000000000004</v>
      </c>
      <c r="F16" s="99">
        <f>CDD!B28</f>
        <v>23</v>
      </c>
      <c r="G16" s="99">
        <f>HDD!B28</f>
        <v>652</v>
      </c>
      <c r="H16" s="111"/>
      <c r="I16" s="71"/>
      <c r="J16" s="92"/>
      <c r="K16" s="94">
        <v>0</v>
      </c>
      <c r="L16" s="94">
        <v>813</v>
      </c>
      <c r="M16" s="115">
        <f t="shared" si="0"/>
        <v>3.5770999999999997</v>
      </c>
      <c r="N16" s="116">
        <f t="shared" si="1"/>
        <v>6.6522129999999997</v>
      </c>
      <c r="O16" s="119">
        <f>M16*'Energy Use'!$E$5+D16*'Energy Use'!$E$4</f>
        <v>14.016101119999998</v>
      </c>
      <c r="P16" s="8"/>
      <c r="Q16" s="8"/>
      <c r="R16" s="75"/>
      <c r="S16" s="75"/>
      <c r="T16" s="75"/>
      <c r="U16" s="75"/>
      <c r="V16" s="76"/>
      <c r="W16" s="76"/>
      <c r="X16" s="76"/>
      <c r="Y16" s="76"/>
      <c r="Z16" s="76"/>
      <c r="AA16" s="76"/>
      <c r="AB16" s="76"/>
      <c r="AC16" s="76"/>
      <c r="AD16" s="76"/>
    </row>
    <row r="17" spans="1:30">
      <c r="A17" s="96">
        <f>'Energy Use'!B25</f>
        <v>41000</v>
      </c>
      <c r="B17" s="79"/>
      <c r="C17" s="114"/>
      <c r="D17" s="114">
        <f>'Energy Use'!S25</f>
        <v>2.6928570000000001</v>
      </c>
      <c r="E17" s="114">
        <f>'Energy Use'!D25</f>
        <v>1</v>
      </c>
      <c r="F17" s="99">
        <f>CDD!B29</f>
        <v>26</v>
      </c>
      <c r="G17" s="99">
        <f>HDD!B29</f>
        <v>463</v>
      </c>
      <c r="H17" s="111"/>
      <c r="I17" s="71"/>
      <c r="J17" s="92"/>
      <c r="K17" s="94">
        <v>9</v>
      </c>
      <c r="L17" s="94">
        <v>537</v>
      </c>
      <c r="M17" s="115">
        <f t="shared" si="0"/>
        <v>2.1418999999999997</v>
      </c>
      <c r="N17" s="116">
        <f t="shared" si="1"/>
        <v>4.8347569999999997</v>
      </c>
      <c r="O17" s="119">
        <f>M17*'Energy Use'!$E$5+D17*'Energy Use'!$E$4</f>
        <v>11.236711679999999</v>
      </c>
      <c r="P17" s="8"/>
      <c r="Q17" s="8"/>
      <c r="R17" s="75"/>
      <c r="S17" s="75"/>
      <c r="T17" s="75"/>
      <c r="U17" s="75"/>
      <c r="V17" s="76"/>
      <c r="W17" s="76"/>
      <c r="X17" s="75"/>
      <c r="Y17" s="75"/>
      <c r="Z17" s="75"/>
      <c r="AA17" s="75"/>
      <c r="AB17" s="75"/>
      <c r="AC17" s="75"/>
      <c r="AD17" s="75"/>
    </row>
    <row r="18" spans="1:30">
      <c r="A18" s="96">
        <f>'Energy Use'!B26</f>
        <v>41030</v>
      </c>
      <c r="B18" s="79"/>
      <c r="C18" s="114"/>
      <c r="D18" s="114">
        <f>'Energy Use'!S26</f>
        <v>4.2764889999999998</v>
      </c>
      <c r="E18" s="114">
        <f>'Energy Use'!D26</f>
        <v>0.5</v>
      </c>
      <c r="F18" s="99">
        <f>CDD!B30</f>
        <v>60</v>
      </c>
      <c r="G18" s="99">
        <f>HDD!B30</f>
        <v>208</v>
      </c>
      <c r="H18" s="111"/>
      <c r="I18" s="71"/>
      <c r="J18" s="92"/>
      <c r="K18" s="94">
        <v>30</v>
      </c>
      <c r="L18" s="94">
        <v>204</v>
      </c>
      <c r="M18" s="115">
        <f t="shared" si="0"/>
        <v>0.4103</v>
      </c>
      <c r="N18" s="116">
        <f t="shared" si="1"/>
        <v>4.6867890000000001</v>
      </c>
      <c r="O18" s="119">
        <f>M18*'Energy Use'!$E$5+D18*'Energy Use'!$E$4</f>
        <v>14.713057359999999</v>
      </c>
      <c r="P18" s="8"/>
      <c r="Q18" s="8"/>
      <c r="R18" s="75"/>
      <c r="S18" s="75"/>
      <c r="T18" s="75"/>
      <c r="U18" s="75"/>
      <c r="V18" s="76"/>
      <c r="W18" s="76"/>
      <c r="X18" s="75"/>
      <c r="Y18" s="75"/>
      <c r="Z18" s="75"/>
      <c r="AA18" s="75"/>
      <c r="AB18" s="75"/>
      <c r="AC18" s="75"/>
      <c r="AD18" s="75"/>
    </row>
    <row r="19" spans="1:30">
      <c r="A19" s="96">
        <f>'Energy Use'!B27</f>
        <v>41061</v>
      </c>
      <c r="B19" s="79"/>
      <c r="C19" s="114"/>
      <c r="D19" s="114">
        <f>'Energy Use'!S27</f>
        <v>2.747465</v>
      </c>
      <c r="E19" s="114">
        <f>'Energy Use'!D27</f>
        <v>0.1</v>
      </c>
      <c r="F19" s="99">
        <f>CDD!B31</f>
        <v>128</v>
      </c>
      <c r="G19" s="99">
        <f>HDD!B31</f>
        <v>121</v>
      </c>
      <c r="H19" s="111"/>
      <c r="I19" s="71"/>
      <c r="J19" s="92"/>
      <c r="K19" s="94">
        <v>116</v>
      </c>
      <c r="L19" s="94">
        <v>87</v>
      </c>
      <c r="M19" s="115">
        <f t="shared" si="0"/>
        <v>-0.1981</v>
      </c>
      <c r="N19" s="116">
        <f t="shared" si="1"/>
        <v>2.5493649999999999</v>
      </c>
      <c r="O19" s="119">
        <f>M19*'Energy Use'!$E$5+D19*'Energy Use'!$E$4</f>
        <v>8.9691223999999998</v>
      </c>
      <c r="P19" s="8"/>
      <c r="Q19" s="8"/>
      <c r="R19" s="75"/>
      <c r="S19" s="75"/>
      <c r="T19" s="75"/>
      <c r="U19" s="75"/>
      <c r="V19" s="76"/>
      <c r="W19" s="76"/>
      <c r="X19" s="75"/>
      <c r="Y19" s="75"/>
      <c r="Z19" s="75"/>
      <c r="AA19" s="75"/>
      <c r="AB19" s="75"/>
      <c r="AC19" s="75"/>
      <c r="AD19" s="75"/>
    </row>
    <row r="20" spans="1:30">
      <c r="A20" s="96">
        <f>'Energy Use'!B28</f>
        <v>41091</v>
      </c>
      <c r="B20" s="97"/>
      <c r="C20" s="114"/>
      <c r="D20" s="114">
        <f>'Energy Use'!S28</f>
        <v>4.2048160000000001</v>
      </c>
      <c r="E20" s="114">
        <f>'Energy Use'!D28</f>
        <v>0</v>
      </c>
      <c r="F20" s="99">
        <f>CDD!B32</f>
        <v>291</v>
      </c>
      <c r="G20" s="99">
        <f>HDD!B32</f>
        <v>22</v>
      </c>
      <c r="H20" s="111"/>
      <c r="I20" s="100"/>
      <c r="J20" s="99"/>
      <c r="K20" s="101">
        <v>284</v>
      </c>
      <c r="L20" s="101">
        <v>3</v>
      </c>
      <c r="M20" s="117">
        <f t="shared" si="0"/>
        <v>-0.63490000000000002</v>
      </c>
      <c r="N20" s="118">
        <f t="shared" si="1"/>
        <v>3.5699160000000001</v>
      </c>
      <c r="O20" s="114">
        <f>M20*'Energy Use'!$E$5+D20*'Energy Use'!$E$4</f>
        <v>13.37934514</v>
      </c>
      <c r="P20" s="8"/>
      <c r="Q20" s="8"/>
      <c r="R20" s="75"/>
      <c r="S20" s="75"/>
      <c r="T20" s="75"/>
      <c r="U20" s="75"/>
      <c r="V20" s="76"/>
      <c r="W20" s="76"/>
      <c r="X20" s="75"/>
      <c r="Y20" s="75"/>
      <c r="Z20" s="75"/>
      <c r="AA20" s="75"/>
      <c r="AB20" s="75"/>
      <c r="AC20" s="75"/>
      <c r="AD20" s="75"/>
    </row>
    <row r="21" spans="1:30">
      <c r="A21" s="105"/>
      <c r="B21" s="79"/>
      <c r="C21" s="70"/>
      <c r="D21" s="70"/>
      <c r="E21" s="70"/>
      <c r="F21" s="92"/>
      <c r="G21" s="92"/>
      <c r="H21" s="71"/>
      <c r="I21" s="71"/>
      <c r="J21" s="92"/>
      <c r="K21" s="95"/>
      <c r="L21" s="95"/>
      <c r="M21" s="106"/>
      <c r="N21" s="116">
        <f>SUM(N9:N20)</f>
        <v>61.084594999999986</v>
      </c>
      <c r="O21" s="120">
        <f>SUM(O9:O20)</f>
        <v>153.2894637</v>
      </c>
      <c r="P21" s="8"/>
      <c r="Q21" s="8"/>
      <c r="R21" s="75"/>
      <c r="S21" s="75"/>
      <c r="T21" s="75"/>
      <c r="U21" s="75"/>
      <c r="V21" s="76"/>
      <c r="W21" s="76"/>
      <c r="X21" s="75"/>
      <c r="Y21" s="75"/>
      <c r="Z21" s="75"/>
      <c r="AA21" s="75"/>
      <c r="AB21" s="75"/>
      <c r="AC21" s="75"/>
      <c r="AD21" s="75"/>
    </row>
    <row r="22" spans="1:30">
      <c r="A22" s="105"/>
      <c r="B22" s="79"/>
      <c r="C22" s="70"/>
      <c r="D22" s="70"/>
      <c r="E22" s="70"/>
      <c r="F22" s="92"/>
      <c r="G22" s="92"/>
      <c r="H22" s="71"/>
      <c r="I22" s="71"/>
      <c r="J22" s="92"/>
      <c r="K22" s="94"/>
      <c r="L22" s="94"/>
      <c r="M22" s="106"/>
      <c r="N22" s="116">
        <f>SUM(D9:D20)+SUM(E9:E20)</f>
        <v>59.359394999999999</v>
      </c>
      <c r="O22" s="112"/>
      <c r="P22" s="113"/>
      <c r="Q22" s="8"/>
      <c r="R22" s="75"/>
      <c r="S22" s="75"/>
      <c r="T22" s="75"/>
      <c r="U22" s="75"/>
      <c r="V22" s="76"/>
      <c r="W22" s="76"/>
      <c r="X22" s="75"/>
      <c r="Y22" s="75"/>
      <c r="Z22" s="75"/>
      <c r="AA22" s="75"/>
      <c r="AB22" s="75"/>
      <c r="AC22" s="75"/>
      <c r="AD22" s="75"/>
    </row>
    <row r="23" spans="1:30">
      <c r="A23" s="105"/>
      <c r="B23" s="79"/>
      <c r="C23" s="70"/>
      <c r="D23" s="70"/>
      <c r="E23" s="70"/>
      <c r="F23" s="92"/>
      <c r="G23" s="92"/>
      <c r="H23" s="71"/>
      <c r="I23" s="71"/>
      <c r="J23" s="92"/>
      <c r="K23" s="94"/>
      <c r="L23" s="94"/>
      <c r="M23" s="107"/>
      <c r="N23" s="75"/>
      <c r="O23" s="112"/>
      <c r="P23" s="113"/>
      <c r="Q23" s="8"/>
      <c r="R23" s="75"/>
      <c r="S23" s="75"/>
      <c r="T23" s="75"/>
      <c r="U23" s="75"/>
      <c r="V23" s="76"/>
      <c r="W23" s="76"/>
      <c r="X23" s="75"/>
      <c r="Y23" s="75"/>
      <c r="Z23" s="75"/>
      <c r="AA23" s="75"/>
      <c r="AB23" s="75"/>
      <c r="AC23" s="75"/>
      <c r="AD23" s="75"/>
    </row>
    <row r="24" spans="1:30">
      <c r="A24" s="105"/>
      <c r="B24" s="79"/>
      <c r="C24" s="70"/>
      <c r="D24" s="70"/>
      <c r="E24" s="70"/>
      <c r="F24" s="92"/>
      <c r="G24" s="92"/>
      <c r="H24" s="71"/>
      <c r="I24" s="71"/>
      <c r="J24" s="92"/>
      <c r="K24" s="94"/>
      <c r="L24" s="94"/>
      <c r="M24" s="108"/>
      <c r="N24" s="108">
        <f>(N22-N21)/N22</f>
        <v>-2.9063638536073133E-2</v>
      </c>
      <c r="O24" s="102"/>
      <c r="P24" s="8"/>
      <c r="Q24" s="8"/>
      <c r="R24" s="75"/>
      <c r="S24" s="75"/>
      <c r="T24" s="75"/>
      <c r="U24" s="75"/>
      <c r="V24" s="76"/>
      <c r="W24" s="76"/>
      <c r="X24" s="75"/>
      <c r="Y24" s="75"/>
      <c r="Z24" s="75"/>
      <c r="AA24" s="75"/>
      <c r="AB24" s="75"/>
      <c r="AC24" s="75"/>
      <c r="AD24" s="75"/>
    </row>
    <row r="25" spans="1:30">
      <c r="A25" s="105"/>
      <c r="B25" s="79"/>
      <c r="C25" s="70"/>
      <c r="D25" s="70"/>
      <c r="E25" s="70"/>
      <c r="F25" s="92"/>
      <c r="G25" s="92"/>
      <c r="H25" s="71"/>
      <c r="I25" s="71"/>
      <c r="J25" s="92"/>
      <c r="K25" s="94"/>
      <c r="L25" s="94"/>
      <c r="M25" s="75"/>
      <c r="N25" s="75"/>
      <c r="O25" s="102"/>
      <c r="P25" s="8"/>
      <c r="Q25" s="8"/>
      <c r="R25" s="75"/>
      <c r="S25" s="75"/>
      <c r="T25" s="75"/>
      <c r="U25" s="75"/>
      <c r="V25" s="76"/>
      <c r="W25" s="76"/>
      <c r="X25" s="75"/>
      <c r="Y25" s="75"/>
      <c r="Z25" s="75"/>
      <c r="AA25" s="75"/>
      <c r="AB25" s="75"/>
      <c r="AC25" s="75"/>
      <c r="AD25" s="75"/>
    </row>
    <row r="26" spans="1:30">
      <c r="A26" s="105"/>
      <c r="B26" s="79"/>
      <c r="C26" s="70"/>
      <c r="D26" s="70"/>
      <c r="E26" s="70"/>
      <c r="F26" s="92"/>
      <c r="G26" s="92"/>
      <c r="H26" s="71"/>
      <c r="I26" s="71"/>
      <c r="J26" s="92"/>
      <c r="K26" s="94"/>
      <c r="L26" s="94"/>
      <c r="M26" s="75"/>
      <c r="N26" s="75"/>
      <c r="O26" s="102"/>
      <c r="P26" s="8"/>
      <c r="Q26" s="8"/>
      <c r="R26" s="75"/>
      <c r="S26" s="75"/>
      <c r="T26" s="75"/>
      <c r="U26" s="75"/>
      <c r="V26" s="76"/>
      <c r="W26" s="76"/>
      <c r="X26" s="75"/>
      <c r="Y26" s="75"/>
      <c r="Z26" s="75"/>
      <c r="AA26" s="75"/>
      <c r="AB26" s="75"/>
      <c r="AC26" s="75"/>
      <c r="AD26" s="75"/>
    </row>
    <row r="27" spans="1:30">
      <c r="A27" s="105"/>
      <c r="B27" s="79"/>
      <c r="C27" s="70"/>
      <c r="D27" s="70"/>
      <c r="E27" s="70"/>
      <c r="F27" s="92"/>
      <c r="G27" s="92"/>
      <c r="H27" s="71"/>
      <c r="I27" s="71"/>
      <c r="J27" s="92"/>
      <c r="K27" s="94"/>
      <c r="L27" s="94"/>
      <c r="M27" s="75"/>
      <c r="N27" s="75"/>
      <c r="O27" s="102"/>
      <c r="P27" s="8"/>
      <c r="Q27" s="8"/>
      <c r="R27" s="75"/>
      <c r="S27" s="75"/>
      <c r="T27" s="75"/>
      <c r="U27" s="75"/>
      <c r="V27" s="76"/>
      <c r="W27" s="76"/>
      <c r="X27" s="75"/>
      <c r="Y27" s="75"/>
      <c r="Z27" s="75"/>
      <c r="AA27" s="75"/>
      <c r="AB27" s="75"/>
      <c r="AC27" s="75"/>
      <c r="AD27" s="75"/>
    </row>
    <row r="28" spans="1:30">
      <c r="A28" s="105"/>
      <c r="B28" s="79"/>
      <c r="C28" s="70"/>
      <c r="D28" s="70"/>
      <c r="E28" s="70"/>
      <c r="F28" s="92"/>
      <c r="G28" s="92"/>
      <c r="H28" s="71"/>
      <c r="I28" s="71"/>
      <c r="J28" s="92"/>
      <c r="K28" s="94"/>
      <c r="L28" s="94"/>
      <c r="M28" s="75"/>
      <c r="N28" s="75"/>
      <c r="O28" s="102"/>
      <c r="P28" s="8"/>
      <c r="Q28" s="8"/>
      <c r="R28" s="75"/>
      <c r="S28" s="75"/>
      <c r="T28" s="75"/>
      <c r="U28" s="75"/>
      <c r="V28" s="76"/>
      <c r="W28" s="76"/>
      <c r="X28" s="75"/>
      <c r="Y28" s="75"/>
      <c r="Z28" s="75"/>
      <c r="AA28" s="75"/>
      <c r="AB28" s="75"/>
      <c r="AC28" s="75"/>
      <c r="AD28" s="75"/>
    </row>
    <row r="29" spans="1:30">
      <c r="A29" s="105"/>
      <c r="B29" s="79"/>
      <c r="C29" s="70"/>
      <c r="D29" s="70"/>
      <c r="E29" s="70"/>
      <c r="F29" s="92"/>
      <c r="G29" s="92"/>
      <c r="H29" s="71"/>
      <c r="I29" s="71"/>
      <c r="J29" s="92"/>
      <c r="K29" s="94"/>
      <c r="L29" s="94"/>
      <c r="M29" s="75"/>
      <c r="N29" s="75"/>
      <c r="O29" s="102"/>
      <c r="P29" s="8"/>
      <c r="Q29" s="8"/>
      <c r="R29" s="75"/>
      <c r="S29" s="75"/>
      <c r="T29" s="75"/>
      <c r="U29" s="75"/>
      <c r="V29" s="76"/>
      <c r="W29" s="76"/>
      <c r="X29" s="75"/>
      <c r="Y29" s="75"/>
      <c r="Z29" s="75"/>
      <c r="AA29" s="75"/>
      <c r="AB29" s="75"/>
      <c r="AC29" s="75"/>
      <c r="AD29" s="75"/>
    </row>
    <row r="30" spans="1:30">
      <c r="A30" s="105"/>
      <c r="B30" s="79"/>
      <c r="C30" s="70"/>
      <c r="D30" s="70"/>
      <c r="E30" s="70"/>
      <c r="F30" s="92"/>
      <c r="G30" s="92"/>
      <c r="H30" s="71"/>
      <c r="I30" s="71"/>
      <c r="J30" s="92"/>
      <c r="K30" s="94"/>
      <c r="L30" s="94"/>
      <c r="M30" s="75"/>
      <c r="N30" s="75"/>
      <c r="O30" s="102"/>
      <c r="P30" s="8"/>
      <c r="Q30" s="8"/>
      <c r="R30" s="75"/>
      <c r="S30" s="75"/>
      <c r="T30" s="75"/>
      <c r="U30" s="75"/>
      <c r="V30" s="76"/>
      <c r="W30" s="76"/>
      <c r="X30" s="75"/>
      <c r="Y30" s="75"/>
      <c r="Z30" s="75"/>
      <c r="AA30" s="75"/>
      <c r="AB30" s="75"/>
      <c r="AC30" s="75"/>
      <c r="AD30" s="75"/>
    </row>
    <row r="31" spans="1:30">
      <c r="A31" s="105"/>
      <c r="B31" s="79"/>
      <c r="C31" s="70"/>
      <c r="D31" s="70"/>
      <c r="E31" s="70"/>
      <c r="F31" s="92"/>
      <c r="G31" s="92"/>
      <c r="H31" s="71"/>
      <c r="I31" s="71"/>
      <c r="J31" s="92"/>
      <c r="K31" s="94"/>
      <c r="L31" s="94"/>
      <c r="M31" s="75"/>
      <c r="N31" s="75"/>
      <c r="O31" s="102"/>
      <c r="P31" s="8"/>
      <c r="Q31" s="8"/>
      <c r="R31" s="75"/>
      <c r="S31" s="75"/>
      <c r="T31" s="75"/>
      <c r="U31" s="75"/>
      <c r="V31" s="76"/>
      <c r="W31" s="76"/>
      <c r="X31" s="75"/>
      <c r="Y31" s="75"/>
      <c r="Z31" s="75"/>
      <c r="AA31" s="75"/>
      <c r="AB31" s="75"/>
      <c r="AC31" s="75"/>
      <c r="AD31" s="75"/>
    </row>
    <row r="32" spans="1:30">
      <c r="A32" s="105"/>
      <c r="B32" s="79"/>
      <c r="C32" s="70"/>
      <c r="D32" s="70"/>
      <c r="E32" s="70"/>
      <c r="F32" s="92"/>
      <c r="G32" s="92"/>
      <c r="H32" s="71"/>
      <c r="I32" s="71"/>
      <c r="J32" s="92"/>
      <c r="K32" s="94"/>
      <c r="L32" s="94"/>
      <c r="M32" s="75"/>
      <c r="N32" s="75"/>
      <c r="O32" s="102"/>
      <c r="P32" s="8"/>
      <c r="Q32" s="8"/>
      <c r="R32" s="75"/>
      <c r="S32" s="75"/>
      <c r="T32" s="75"/>
      <c r="U32" s="75"/>
      <c r="V32" s="76"/>
      <c r="W32" s="76"/>
      <c r="X32" s="75"/>
      <c r="Y32" s="75"/>
      <c r="Z32" s="75"/>
      <c r="AA32" s="75"/>
      <c r="AB32" s="75"/>
      <c r="AC32" s="75"/>
      <c r="AD32" s="75"/>
    </row>
    <row r="33" spans="1:30">
      <c r="A33" s="105"/>
      <c r="B33" s="79"/>
      <c r="C33" s="70"/>
      <c r="D33" s="70"/>
      <c r="E33" s="70"/>
      <c r="F33" s="92"/>
      <c r="G33" s="92"/>
      <c r="H33" s="71"/>
      <c r="I33" s="71"/>
      <c r="J33" s="92"/>
      <c r="K33" s="94"/>
      <c r="L33" s="94"/>
      <c r="M33" s="75"/>
      <c r="N33" s="75"/>
      <c r="O33" s="102"/>
      <c r="P33" s="8"/>
      <c r="Q33" s="8"/>
      <c r="R33" s="75"/>
      <c r="S33" s="75"/>
      <c r="T33" s="75"/>
      <c r="U33" s="75"/>
      <c r="V33" s="76"/>
      <c r="W33" s="76"/>
      <c r="X33" s="75"/>
      <c r="Y33" s="75"/>
      <c r="Z33" s="75"/>
      <c r="AA33" s="75"/>
      <c r="AB33" s="75"/>
      <c r="AC33" s="75"/>
      <c r="AD33" s="75"/>
    </row>
    <row r="34" spans="1:30">
      <c r="A34" s="105"/>
      <c r="B34" s="79"/>
      <c r="C34" s="70"/>
      <c r="D34" s="70"/>
      <c r="E34" s="70"/>
      <c r="F34" s="92"/>
      <c r="G34" s="92"/>
      <c r="H34" s="71"/>
      <c r="I34" s="71"/>
      <c r="J34" s="92"/>
      <c r="K34" s="94"/>
      <c r="L34" s="94"/>
      <c r="M34" s="75"/>
      <c r="N34" s="75"/>
      <c r="O34" s="102"/>
      <c r="P34" s="8"/>
      <c r="Q34" s="8"/>
      <c r="R34" s="75"/>
      <c r="S34" s="75"/>
      <c r="T34" s="75"/>
      <c r="U34" s="75"/>
      <c r="V34" s="76"/>
      <c r="W34" s="76"/>
      <c r="X34" s="75"/>
      <c r="Y34" s="75"/>
      <c r="Z34" s="75"/>
      <c r="AA34" s="75"/>
      <c r="AB34" s="75"/>
      <c r="AC34" s="75"/>
      <c r="AD34" s="75"/>
    </row>
    <row r="35" spans="1:30">
      <c r="A35" s="76"/>
      <c r="B35" s="79"/>
      <c r="C35" s="70"/>
      <c r="D35" s="70"/>
      <c r="E35" s="70"/>
      <c r="F35" s="71"/>
      <c r="G35" s="71"/>
      <c r="H35" s="71"/>
      <c r="I35" s="71"/>
      <c r="J35" s="92"/>
      <c r="K35" s="73"/>
      <c r="L35" s="74"/>
      <c r="M35" s="75"/>
      <c r="N35" s="75"/>
      <c r="O35" s="109"/>
      <c r="P35" s="75"/>
      <c r="Q35" s="75"/>
      <c r="R35" s="75"/>
      <c r="S35" s="75"/>
      <c r="T35" s="75"/>
      <c r="U35" s="75"/>
      <c r="V35" s="76"/>
      <c r="W35" s="76"/>
      <c r="X35" s="75"/>
      <c r="Y35" s="75"/>
      <c r="Z35" s="75"/>
      <c r="AA35" s="75"/>
      <c r="AB35" s="75"/>
      <c r="AC35" s="75"/>
      <c r="AD35" s="75"/>
    </row>
    <row r="36" spans="1:30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6"/>
      <c r="M36" s="76"/>
      <c r="N36" s="75"/>
      <c r="O36" s="75"/>
      <c r="P36" s="75"/>
      <c r="Q36" s="75"/>
      <c r="R36" s="75"/>
      <c r="S36" s="75"/>
      <c r="T36" s="75"/>
    </row>
    <row r="37" spans="1:30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6"/>
      <c r="M37" s="76"/>
      <c r="N37" s="75"/>
      <c r="O37" s="75"/>
      <c r="P37" s="75"/>
      <c r="Q37" s="75"/>
      <c r="R37" s="75"/>
      <c r="S37" s="75"/>
      <c r="T37" s="75"/>
    </row>
    <row r="38" spans="1:30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6"/>
      <c r="M38" s="76"/>
      <c r="N38" s="76"/>
      <c r="O38" s="76"/>
      <c r="P38" s="76"/>
      <c r="Q38" s="76"/>
      <c r="R38" s="76"/>
      <c r="S38" s="76"/>
      <c r="T38" s="76"/>
    </row>
    <row r="39" spans="1:30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6"/>
      <c r="M39" s="76"/>
      <c r="N39" s="75"/>
      <c r="O39" s="75"/>
      <c r="P39" s="75"/>
      <c r="Q39" s="75"/>
      <c r="R39" s="75"/>
      <c r="S39" s="75"/>
      <c r="T39" s="75"/>
    </row>
    <row r="40" spans="1:30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6"/>
      <c r="M40" s="76"/>
      <c r="N40" s="75"/>
      <c r="O40" s="75"/>
      <c r="P40" s="75"/>
      <c r="Q40" s="75"/>
      <c r="R40" s="75"/>
      <c r="S40" s="75"/>
      <c r="T40" s="75"/>
    </row>
    <row r="41" spans="1:30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6"/>
      <c r="M41" s="76"/>
      <c r="N41" s="75"/>
      <c r="O41" s="75"/>
      <c r="P41" s="75"/>
      <c r="Q41" s="75"/>
      <c r="R41" s="75"/>
      <c r="S41" s="75"/>
      <c r="T41" s="75"/>
    </row>
    <row r="42" spans="1:30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6"/>
      <c r="M42" s="76"/>
      <c r="N42" s="75"/>
      <c r="O42" s="75"/>
      <c r="P42" s="75"/>
      <c r="Q42" s="75"/>
      <c r="R42" s="75"/>
      <c r="S42" s="75"/>
      <c r="T42" s="75"/>
    </row>
    <row r="43" spans="1:30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6"/>
      <c r="M43" s="76"/>
      <c r="N43" s="75"/>
      <c r="O43" s="75"/>
      <c r="P43" s="75"/>
      <c r="Q43" s="75"/>
      <c r="R43" s="75"/>
      <c r="S43" s="75"/>
      <c r="T43" s="75"/>
    </row>
    <row r="44" spans="1:30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6"/>
      <c r="M44" s="76"/>
      <c r="N44" s="75"/>
      <c r="O44" s="75"/>
      <c r="P44" s="75"/>
      <c r="Q44" s="75"/>
      <c r="R44" s="75"/>
      <c r="S44" s="75"/>
      <c r="T44" s="75"/>
    </row>
    <row r="45" spans="1:30">
      <c r="A45" s="76"/>
      <c r="B45" s="79"/>
      <c r="C45" s="70"/>
      <c r="D45" s="70"/>
      <c r="E45" s="70"/>
      <c r="F45" s="71"/>
      <c r="G45" s="71"/>
      <c r="H45" s="71"/>
      <c r="I45" s="71"/>
      <c r="J45" s="72"/>
      <c r="K45" s="73"/>
      <c r="L45" s="74"/>
      <c r="M45" s="75"/>
      <c r="N45" s="75"/>
      <c r="O45" s="75"/>
      <c r="P45" s="75"/>
      <c r="Q45" s="75"/>
      <c r="R45" s="75"/>
      <c r="S45" s="75"/>
      <c r="T45" s="75"/>
      <c r="U45" s="75"/>
      <c r="V45" s="76"/>
      <c r="W45" s="76"/>
      <c r="X45" s="76"/>
      <c r="Y45" s="76"/>
      <c r="Z45" s="76"/>
      <c r="AA45" s="76"/>
      <c r="AB45" s="76"/>
      <c r="AC45" s="76"/>
      <c r="AD45" s="76"/>
    </row>
    <row r="46" spans="1:30">
      <c r="A46" s="76"/>
      <c r="B46" s="79"/>
      <c r="C46" s="70"/>
      <c r="D46" s="70"/>
      <c r="E46" s="70"/>
      <c r="F46" s="71"/>
      <c r="G46" s="71"/>
      <c r="H46" s="71"/>
      <c r="I46" s="71"/>
      <c r="J46" s="72"/>
      <c r="K46" s="73"/>
      <c r="L46" s="74"/>
      <c r="M46" s="75"/>
      <c r="N46" s="75"/>
      <c r="O46" s="75"/>
      <c r="P46" s="75"/>
      <c r="Q46" s="75"/>
      <c r="R46" s="75"/>
      <c r="S46" s="75"/>
      <c r="T46" s="75"/>
      <c r="U46" s="75"/>
      <c r="V46" s="76"/>
      <c r="W46" s="76"/>
      <c r="X46" s="76"/>
      <c r="Y46" s="76"/>
      <c r="Z46" s="76"/>
      <c r="AA46" s="76"/>
      <c r="AB46" s="76"/>
      <c r="AC46" s="76"/>
      <c r="AD46" s="76"/>
    </row>
    <row r="47" spans="1:30">
      <c r="A47" s="76"/>
      <c r="B47" s="79"/>
      <c r="C47" s="70"/>
      <c r="D47" s="70"/>
      <c r="E47" s="70"/>
      <c r="F47" s="71"/>
      <c r="G47" s="71"/>
      <c r="H47" s="71"/>
      <c r="I47" s="71"/>
      <c r="J47" s="72"/>
      <c r="K47" s="73"/>
      <c r="L47" s="74"/>
      <c r="M47" s="75"/>
      <c r="N47" s="75"/>
      <c r="O47" s="75"/>
      <c r="P47" s="75"/>
      <c r="Q47" s="75"/>
      <c r="R47" s="75"/>
      <c r="S47" s="75"/>
      <c r="T47" s="75"/>
      <c r="U47" s="110"/>
      <c r="V47" s="76"/>
      <c r="W47" s="76"/>
      <c r="X47" s="76"/>
      <c r="Y47" s="76"/>
      <c r="Z47" s="76"/>
      <c r="AA47" s="76"/>
      <c r="AB47" s="76"/>
      <c r="AC47" s="76"/>
      <c r="AD47" s="76"/>
    </row>
    <row r="48" spans="1:30">
      <c r="A48" s="76"/>
      <c r="B48" s="79"/>
      <c r="C48" s="70"/>
      <c r="D48" s="70"/>
      <c r="E48" s="70"/>
      <c r="F48" s="71"/>
      <c r="G48" s="71"/>
      <c r="H48" s="71"/>
      <c r="I48" s="71"/>
      <c r="J48" s="72"/>
      <c r="K48" s="73"/>
      <c r="L48" s="74"/>
      <c r="M48" s="75"/>
      <c r="N48" s="75"/>
      <c r="O48" s="75"/>
      <c r="P48" s="75"/>
      <c r="Q48" s="75"/>
      <c r="R48" s="75"/>
      <c r="S48" s="75"/>
      <c r="T48" s="75"/>
      <c r="U48" s="75"/>
      <c r="V48" s="76"/>
      <c r="W48" s="76"/>
      <c r="X48" s="76"/>
      <c r="Y48" s="76"/>
      <c r="Z48" s="76"/>
      <c r="AA48" s="76"/>
      <c r="AB48" s="76"/>
      <c r="AC48" s="76"/>
      <c r="AD48" s="76"/>
    </row>
    <row r="49" spans="1:30">
      <c r="A49" s="76"/>
      <c r="B49" s="79"/>
      <c r="C49" s="70"/>
      <c r="D49" s="70"/>
      <c r="E49" s="70"/>
      <c r="F49" s="71"/>
      <c r="G49" s="71"/>
      <c r="H49" s="71"/>
      <c r="I49" s="71"/>
      <c r="J49" s="72"/>
      <c r="K49" s="73"/>
      <c r="L49" s="74"/>
      <c r="M49" s="75"/>
      <c r="N49" s="75"/>
      <c r="O49" s="75"/>
      <c r="P49" s="75"/>
      <c r="Q49" s="75"/>
      <c r="R49" s="75"/>
      <c r="S49" s="75"/>
      <c r="T49" s="75"/>
      <c r="U49" s="75"/>
      <c r="V49" s="76"/>
      <c r="W49" s="76"/>
      <c r="X49" s="76"/>
      <c r="Y49" s="76"/>
      <c r="Z49" s="76"/>
      <c r="AA49" s="76"/>
      <c r="AB49" s="76"/>
      <c r="AC49" s="76"/>
      <c r="AD49" s="76"/>
    </row>
    <row r="50" spans="1:30">
      <c r="A50" s="76"/>
      <c r="B50" s="79"/>
      <c r="C50" s="70"/>
      <c r="D50" s="70"/>
      <c r="E50" s="70"/>
      <c r="F50" s="71"/>
      <c r="G50" s="71"/>
      <c r="H50" s="71"/>
      <c r="I50" s="71"/>
      <c r="J50" s="72"/>
      <c r="K50" s="73"/>
      <c r="L50" s="74"/>
      <c r="M50" s="75"/>
      <c r="N50" s="75"/>
      <c r="O50" s="75"/>
      <c r="P50" s="75"/>
      <c r="Q50" s="75"/>
      <c r="R50" s="75"/>
      <c r="S50" s="75"/>
      <c r="T50" s="75"/>
      <c r="U50" s="75"/>
      <c r="V50" s="76"/>
      <c r="W50" s="76"/>
      <c r="X50" s="76"/>
      <c r="Y50" s="76"/>
      <c r="Z50" s="76"/>
      <c r="AA50" s="76"/>
      <c r="AB50" s="76"/>
      <c r="AC50" s="76"/>
      <c r="AD50" s="76"/>
    </row>
    <row r="51" spans="1:30">
      <c r="A51" s="76"/>
      <c r="B51" s="79"/>
      <c r="C51" s="70"/>
      <c r="D51" s="70"/>
      <c r="E51" s="70"/>
      <c r="F51" s="71"/>
      <c r="G51" s="71"/>
      <c r="H51" s="71"/>
      <c r="I51" s="71"/>
      <c r="J51" s="72"/>
      <c r="K51" s="73"/>
      <c r="L51" s="74"/>
      <c r="M51" s="75"/>
      <c r="N51" s="75"/>
      <c r="O51" s="75"/>
      <c r="P51" s="75"/>
      <c r="Q51" s="75"/>
      <c r="R51" s="75"/>
      <c r="S51" s="75"/>
      <c r="T51" s="75"/>
      <c r="U51" s="75"/>
      <c r="V51" s="76"/>
      <c r="W51" s="76"/>
      <c r="X51" s="76"/>
      <c r="Y51" s="76"/>
      <c r="Z51" s="76"/>
      <c r="AA51" s="76"/>
      <c r="AB51" s="76"/>
      <c r="AC51" s="76"/>
      <c r="AD51" s="76"/>
    </row>
    <row r="52" spans="1:30">
      <c r="A52" s="76"/>
      <c r="B52" s="79"/>
      <c r="C52" s="70"/>
      <c r="D52" s="70"/>
      <c r="E52" s="70"/>
      <c r="F52" s="71"/>
      <c r="G52" s="71"/>
      <c r="H52" s="71"/>
      <c r="I52" s="71"/>
      <c r="J52" s="72"/>
      <c r="K52" s="73"/>
      <c r="L52" s="74"/>
      <c r="M52" s="75"/>
      <c r="N52" s="75"/>
      <c r="O52" s="75"/>
      <c r="P52" s="75"/>
      <c r="Q52" s="75"/>
      <c r="R52" s="75"/>
      <c r="S52" s="75"/>
      <c r="T52" s="75"/>
      <c r="U52" s="75"/>
      <c r="V52" s="76"/>
      <c r="W52" s="76"/>
      <c r="X52" s="76"/>
      <c r="Y52" s="76"/>
      <c r="Z52" s="76"/>
      <c r="AA52" s="76"/>
      <c r="AB52" s="76"/>
      <c r="AC52" s="76"/>
      <c r="AD52" s="76"/>
    </row>
    <row r="53" spans="1:30">
      <c r="A53" s="76"/>
      <c r="B53" s="79"/>
      <c r="C53" s="70"/>
      <c r="D53" s="70"/>
      <c r="E53" s="70"/>
      <c r="F53" s="71"/>
      <c r="G53" s="71"/>
      <c r="H53" s="71"/>
      <c r="I53" s="71"/>
      <c r="J53" s="72"/>
      <c r="K53" s="73"/>
      <c r="L53" s="74"/>
      <c r="M53" s="75"/>
      <c r="N53" s="75"/>
      <c r="O53" s="75"/>
      <c r="P53" s="75"/>
      <c r="Q53" s="75"/>
      <c r="R53" s="75"/>
      <c r="S53" s="75"/>
      <c r="T53" s="75"/>
      <c r="U53" s="75"/>
      <c r="V53" s="76"/>
      <c r="W53" s="76"/>
      <c r="X53" s="76"/>
      <c r="Y53" s="76"/>
      <c r="Z53" s="76"/>
      <c r="AA53" s="76"/>
      <c r="AB53" s="76"/>
      <c r="AC53" s="76"/>
      <c r="AD53" s="76"/>
    </row>
    <row r="54" spans="1:30">
      <c r="A54" s="76"/>
      <c r="B54" s="79"/>
      <c r="C54" s="70"/>
      <c r="D54" s="70"/>
      <c r="E54" s="70"/>
      <c r="F54" s="71"/>
      <c r="G54" s="71"/>
      <c r="H54" s="71"/>
      <c r="I54" s="71"/>
      <c r="J54" s="72"/>
      <c r="K54" s="73"/>
      <c r="L54" s="74"/>
      <c r="M54" s="75"/>
      <c r="N54" s="75"/>
      <c r="O54" s="75"/>
      <c r="P54" s="75"/>
      <c r="Q54" s="75"/>
      <c r="R54" s="75"/>
      <c r="S54" s="75"/>
      <c r="T54" s="75"/>
      <c r="U54" s="75"/>
      <c r="V54" s="76"/>
      <c r="W54" s="76"/>
      <c r="X54" s="76"/>
      <c r="Y54" s="76"/>
      <c r="Z54" s="76"/>
      <c r="AA54" s="76"/>
      <c r="AB54" s="76"/>
      <c r="AC54" s="76"/>
      <c r="AD54" s="76"/>
    </row>
    <row r="55" spans="1:30">
      <c r="A55" s="76"/>
      <c r="B55" s="79"/>
      <c r="C55" s="70"/>
      <c r="D55" s="70"/>
      <c r="E55" s="70"/>
      <c r="F55" s="71"/>
      <c r="G55" s="71"/>
      <c r="H55" s="71"/>
      <c r="I55" s="71"/>
      <c r="J55" s="72"/>
      <c r="K55" s="73"/>
      <c r="L55" s="74"/>
      <c r="M55" s="75"/>
      <c r="N55" s="75"/>
      <c r="O55" s="75"/>
      <c r="P55" s="75"/>
      <c r="Q55" s="75"/>
      <c r="R55" s="75"/>
      <c r="S55" s="75"/>
      <c r="T55" s="75"/>
      <c r="U55" s="75"/>
      <c r="V55" s="76"/>
      <c r="W55" s="76"/>
      <c r="X55" s="76"/>
      <c r="Y55" s="76"/>
      <c r="Z55" s="76"/>
      <c r="AA55" s="76"/>
      <c r="AB55" s="76"/>
      <c r="AC55" s="76"/>
      <c r="AD55" s="76"/>
    </row>
    <row r="56" spans="1:30">
      <c r="A56" s="76"/>
      <c r="B56" s="79"/>
      <c r="C56" s="70"/>
      <c r="D56" s="70"/>
      <c r="E56" s="70"/>
      <c r="F56" s="71"/>
      <c r="G56" s="71"/>
      <c r="H56" s="71"/>
      <c r="I56" s="71"/>
      <c r="J56" s="72"/>
      <c r="K56" s="73"/>
      <c r="L56" s="74"/>
      <c r="M56" s="75"/>
      <c r="N56" s="75"/>
      <c r="O56" s="75"/>
      <c r="P56" s="75"/>
      <c r="Q56" s="75"/>
      <c r="R56" s="75"/>
      <c r="S56" s="75"/>
      <c r="T56" s="75"/>
      <c r="U56" s="75"/>
      <c r="V56" s="76"/>
      <c r="W56" s="76"/>
      <c r="X56" s="76"/>
      <c r="Y56" s="76"/>
      <c r="Z56" s="76"/>
      <c r="AA56" s="76"/>
      <c r="AB56" s="76"/>
      <c r="AC56" s="76"/>
      <c r="AD56" s="76"/>
    </row>
    <row r="57" spans="1:30">
      <c r="A57" s="76"/>
      <c r="B57" s="79"/>
      <c r="C57" s="70"/>
      <c r="D57" s="70"/>
      <c r="E57" s="70"/>
      <c r="F57" s="71"/>
      <c r="G57" s="71"/>
      <c r="H57" s="71"/>
      <c r="I57" s="71"/>
      <c r="J57" s="72"/>
      <c r="K57" s="73"/>
      <c r="L57" s="74"/>
      <c r="M57" s="75"/>
      <c r="N57" s="75"/>
      <c r="O57" s="75"/>
      <c r="P57" s="75"/>
      <c r="Q57" s="75"/>
      <c r="R57" s="75"/>
      <c r="S57" s="75"/>
      <c r="T57" s="75"/>
      <c r="U57" s="75"/>
      <c r="V57" s="76"/>
      <c r="W57" s="76"/>
      <c r="X57" s="76"/>
      <c r="Y57" s="76"/>
      <c r="Z57" s="76"/>
      <c r="AA57" s="76"/>
      <c r="AB57" s="76"/>
      <c r="AC57" s="76"/>
      <c r="AD57" s="76"/>
    </row>
    <row r="58" spans="1:30">
      <c r="A58" s="76"/>
      <c r="B58" s="79"/>
      <c r="C58" s="70"/>
      <c r="D58" s="70"/>
      <c r="E58" s="70"/>
      <c r="F58" s="71"/>
      <c r="G58" s="71"/>
      <c r="H58" s="71"/>
      <c r="I58" s="71"/>
      <c r="J58" s="72"/>
      <c r="K58" s="73"/>
      <c r="L58" s="74"/>
      <c r="M58" s="75"/>
      <c r="N58" s="75"/>
      <c r="O58" s="75"/>
      <c r="P58" s="75"/>
      <c r="Q58" s="75"/>
      <c r="R58" s="75"/>
      <c r="S58" s="75"/>
      <c r="T58" s="75"/>
      <c r="U58" s="75"/>
      <c r="V58" s="76"/>
      <c r="W58" s="76"/>
      <c r="X58" s="76"/>
      <c r="Y58" s="76"/>
      <c r="Z58" s="76"/>
      <c r="AA58" s="76"/>
      <c r="AB58" s="76"/>
      <c r="AC58" s="76"/>
      <c r="AD58" s="76"/>
    </row>
    <row r="59" spans="1:30">
      <c r="A59" s="76"/>
      <c r="B59" s="79"/>
      <c r="C59" s="70"/>
      <c r="D59" s="70"/>
      <c r="E59" s="70"/>
      <c r="F59" s="71"/>
      <c r="G59" s="71"/>
      <c r="H59" s="71"/>
      <c r="I59" s="71"/>
      <c r="J59" s="72"/>
      <c r="K59" s="73"/>
      <c r="L59" s="74"/>
      <c r="M59" s="75"/>
      <c r="N59" s="75"/>
      <c r="O59" s="75"/>
      <c r="P59" s="75"/>
      <c r="Q59" s="75"/>
      <c r="R59" s="75"/>
      <c r="S59" s="75"/>
      <c r="T59" s="75"/>
      <c r="U59" s="75"/>
      <c r="V59" s="76"/>
      <c r="W59" s="76"/>
      <c r="X59" s="76"/>
      <c r="Y59" s="76"/>
      <c r="Z59" s="76"/>
      <c r="AA59" s="76"/>
      <c r="AB59" s="76"/>
      <c r="AC59" s="76"/>
      <c r="AD59" s="76"/>
    </row>
    <row r="60" spans="1:30">
      <c r="A60" s="76"/>
      <c r="B60" s="79"/>
      <c r="C60" s="70"/>
      <c r="D60" s="70"/>
      <c r="E60" s="70"/>
      <c r="F60" s="71"/>
      <c r="G60" s="71"/>
      <c r="H60" s="71"/>
      <c r="I60" s="71"/>
      <c r="J60" s="72"/>
      <c r="K60" s="73"/>
      <c r="L60" s="74"/>
      <c r="M60" s="75"/>
      <c r="N60" s="75"/>
      <c r="O60" s="75"/>
      <c r="P60" s="75"/>
      <c r="Q60" s="75"/>
      <c r="R60" s="75"/>
      <c r="S60" s="75"/>
      <c r="T60" s="75"/>
      <c r="U60" s="75"/>
      <c r="V60" s="76"/>
      <c r="W60" s="76"/>
      <c r="X60" s="76"/>
      <c r="Y60" s="76"/>
      <c r="Z60" s="76"/>
      <c r="AA60" s="76"/>
      <c r="AB60" s="76"/>
      <c r="AC60" s="76"/>
      <c r="AD60" s="76"/>
    </row>
    <row r="61" spans="1:30">
      <c r="A61" s="76"/>
      <c r="B61" s="79"/>
      <c r="C61" s="70"/>
      <c r="D61" s="70"/>
      <c r="E61" s="70"/>
      <c r="F61" s="71"/>
      <c r="G61" s="71"/>
      <c r="H61" s="71"/>
      <c r="I61" s="71"/>
      <c r="J61" s="72"/>
      <c r="K61" s="73"/>
      <c r="L61" s="74"/>
      <c r="M61" s="75"/>
      <c r="N61" s="75"/>
      <c r="O61" s="75"/>
      <c r="P61" s="75"/>
      <c r="Q61" s="75"/>
      <c r="R61" s="75"/>
      <c r="S61" s="75"/>
      <c r="T61" s="75"/>
      <c r="U61" s="75"/>
      <c r="V61" s="76"/>
      <c r="W61" s="76"/>
      <c r="X61" s="76"/>
      <c r="Y61" s="76"/>
      <c r="Z61" s="76"/>
      <c r="AA61" s="76"/>
      <c r="AB61" s="76"/>
      <c r="AC61" s="76"/>
      <c r="AD61" s="76"/>
    </row>
    <row r="62" spans="1:30">
      <c r="A62" s="76"/>
      <c r="B62" s="79"/>
      <c r="C62" s="70"/>
      <c r="D62" s="70"/>
      <c r="E62" s="70"/>
      <c r="F62" s="71"/>
      <c r="G62" s="71"/>
      <c r="H62" s="71"/>
      <c r="I62" s="71"/>
      <c r="J62" s="72"/>
      <c r="K62" s="73"/>
      <c r="L62" s="74"/>
      <c r="M62" s="75"/>
      <c r="N62" s="75"/>
      <c r="O62" s="75"/>
      <c r="P62" s="75"/>
      <c r="Q62" s="75"/>
      <c r="R62" s="75"/>
      <c r="S62" s="75"/>
      <c r="T62" s="75"/>
      <c r="U62" s="75"/>
      <c r="V62" s="76"/>
      <c r="W62" s="76"/>
      <c r="X62" s="76"/>
      <c r="Y62" s="76"/>
      <c r="Z62" s="76"/>
      <c r="AA62" s="76"/>
      <c r="AB62" s="76"/>
      <c r="AC62" s="76"/>
      <c r="AD62" s="76"/>
    </row>
    <row r="63" spans="1:30">
      <c r="A63" s="76"/>
      <c r="B63" s="79"/>
      <c r="C63" s="70"/>
      <c r="D63" s="70"/>
      <c r="E63" s="70"/>
      <c r="F63" s="71"/>
      <c r="G63" s="71"/>
      <c r="H63" s="71"/>
      <c r="I63" s="71"/>
      <c r="J63" s="72"/>
      <c r="K63" s="73"/>
      <c r="L63" s="74"/>
      <c r="M63" s="75"/>
      <c r="N63" s="75"/>
      <c r="O63" s="75"/>
      <c r="P63" s="75"/>
      <c r="Q63" s="75"/>
      <c r="R63" s="75"/>
      <c r="S63" s="75"/>
      <c r="T63" s="75"/>
      <c r="U63" s="75"/>
      <c r="V63" s="76"/>
      <c r="W63" s="76"/>
      <c r="X63" s="76"/>
      <c r="Y63" s="76"/>
      <c r="Z63" s="76"/>
      <c r="AA63" s="76"/>
      <c r="AB63" s="76"/>
      <c r="AC63" s="76"/>
      <c r="AD63" s="76"/>
    </row>
    <row r="64" spans="1:30">
      <c r="A64" s="76"/>
      <c r="B64" s="79"/>
      <c r="C64" s="70"/>
      <c r="D64" s="70"/>
      <c r="E64" s="70"/>
      <c r="F64" s="71"/>
      <c r="G64" s="71"/>
      <c r="H64" s="71"/>
      <c r="I64" s="71"/>
      <c r="J64" s="72"/>
      <c r="K64" s="73"/>
      <c r="L64" s="74"/>
      <c r="M64" s="75"/>
      <c r="N64" s="75"/>
      <c r="O64" s="75"/>
      <c r="P64" s="75"/>
      <c r="Q64" s="75"/>
      <c r="R64" s="75"/>
      <c r="S64" s="75"/>
      <c r="T64" s="75"/>
      <c r="U64" s="75"/>
      <c r="V64" s="76"/>
      <c r="W64" s="76"/>
      <c r="X64" s="76"/>
      <c r="Y64" s="76"/>
      <c r="Z64" s="76"/>
      <c r="AA64" s="76"/>
      <c r="AB64" s="76"/>
      <c r="AC64" s="76"/>
      <c r="AD64" s="76"/>
    </row>
    <row r="65" spans="1:30">
      <c r="A65" s="76"/>
      <c r="B65" s="79"/>
      <c r="C65" s="70"/>
      <c r="D65" s="70"/>
      <c r="E65" s="70"/>
      <c r="F65" s="71"/>
      <c r="G65" s="71"/>
      <c r="H65" s="71"/>
      <c r="I65" s="71"/>
      <c r="J65" s="72"/>
      <c r="K65" s="73"/>
      <c r="L65" s="74"/>
      <c r="M65" s="75"/>
      <c r="N65" s="75"/>
      <c r="O65" s="75"/>
      <c r="P65" s="75"/>
      <c r="Q65" s="75"/>
      <c r="R65" s="75"/>
      <c r="S65" s="75"/>
      <c r="T65" s="75"/>
      <c r="U65" s="75"/>
      <c r="V65" s="76"/>
      <c r="W65" s="76"/>
      <c r="X65" s="76"/>
      <c r="Y65" s="76"/>
      <c r="Z65" s="76"/>
      <c r="AA65" s="76"/>
      <c r="AB65" s="76"/>
      <c r="AC65" s="76"/>
      <c r="AD65" s="76"/>
    </row>
    <row r="66" spans="1:30">
      <c r="A66" s="76"/>
      <c r="B66" s="79"/>
      <c r="C66" s="70"/>
      <c r="D66" s="70"/>
      <c r="E66" s="70"/>
      <c r="F66" s="71"/>
      <c r="G66" s="71"/>
      <c r="H66" s="71"/>
      <c r="I66" s="71"/>
      <c r="J66" s="72"/>
      <c r="K66" s="73"/>
      <c r="L66" s="74"/>
      <c r="M66" s="75"/>
      <c r="N66" s="75"/>
      <c r="O66" s="75"/>
      <c r="P66" s="75"/>
      <c r="Q66" s="75"/>
      <c r="R66" s="75"/>
      <c r="S66" s="75"/>
      <c r="T66" s="75"/>
      <c r="U66" s="75"/>
      <c r="V66" s="76"/>
      <c r="W66" s="76"/>
      <c r="X66" s="76"/>
      <c r="Y66" s="76"/>
      <c r="Z66" s="76"/>
      <c r="AA66" s="76"/>
      <c r="AB66" s="76"/>
      <c r="AC66" s="76"/>
      <c r="AD66" s="76"/>
    </row>
    <row r="67" spans="1:30">
      <c r="A67" s="76"/>
      <c r="B67" s="79"/>
      <c r="C67" s="70"/>
      <c r="D67" s="70"/>
      <c r="E67" s="70"/>
      <c r="F67" s="71"/>
      <c r="G67" s="71"/>
      <c r="H67" s="71"/>
      <c r="I67" s="71"/>
      <c r="J67" s="72"/>
      <c r="K67" s="73"/>
      <c r="L67" s="74"/>
      <c r="M67" s="75"/>
      <c r="N67" s="75"/>
      <c r="O67" s="75"/>
      <c r="P67" s="75"/>
      <c r="Q67" s="75"/>
      <c r="R67" s="75"/>
      <c r="S67" s="75"/>
      <c r="T67" s="75"/>
      <c r="U67" s="75"/>
      <c r="V67" s="76"/>
      <c r="W67" s="76"/>
      <c r="X67" s="76"/>
      <c r="Y67" s="76"/>
      <c r="Z67" s="76"/>
      <c r="AA67" s="76"/>
      <c r="AB67" s="76"/>
      <c r="AC67" s="76"/>
      <c r="AD67" s="76"/>
    </row>
    <row r="68" spans="1:30">
      <c r="A68" s="76"/>
      <c r="B68" s="79"/>
      <c r="C68" s="70"/>
      <c r="D68" s="70"/>
      <c r="E68" s="70"/>
      <c r="F68" s="71"/>
      <c r="G68" s="71"/>
      <c r="H68" s="71"/>
      <c r="I68" s="71"/>
      <c r="J68" s="72"/>
      <c r="K68" s="73"/>
      <c r="L68" s="74"/>
      <c r="M68" s="75"/>
      <c r="N68" s="75"/>
      <c r="O68" s="75"/>
      <c r="P68" s="75"/>
      <c r="Q68" s="75"/>
      <c r="R68" s="75"/>
      <c r="S68" s="75"/>
      <c r="T68" s="75"/>
      <c r="U68" s="75"/>
      <c r="V68" s="76"/>
      <c r="W68" s="76"/>
      <c r="X68" s="76"/>
      <c r="Y68" s="76"/>
      <c r="Z68" s="76"/>
      <c r="AA68" s="76"/>
      <c r="AB68" s="76"/>
      <c r="AC68" s="76"/>
      <c r="AD68" s="76"/>
    </row>
    <row r="69" spans="1:30">
      <c r="A69" s="76"/>
      <c r="B69" s="79"/>
      <c r="C69" s="70"/>
      <c r="D69" s="70"/>
      <c r="E69" s="70"/>
      <c r="F69" s="71"/>
      <c r="G69" s="71"/>
      <c r="H69" s="71"/>
      <c r="I69" s="71"/>
      <c r="J69" s="72"/>
      <c r="K69" s="73"/>
      <c r="L69" s="74"/>
      <c r="M69" s="75"/>
      <c r="N69" s="75"/>
      <c r="O69" s="75"/>
      <c r="P69" s="75"/>
      <c r="Q69" s="75"/>
      <c r="R69" s="75"/>
      <c r="S69" s="75"/>
      <c r="T69" s="75"/>
      <c r="U69" s="75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>
      <c r="A70" s="76"/>
      <c r="B70" s="79"/>
      <c r="C70" s="70"/>
      <c r="D70" s="70"/>
      <c r="E70" s="70"/>
      <c r="F70" s="71"/>
      <c r="G70" s="71"/>
      <c r="H70" s="71"/>
      <c r="I70" s="71"/>
      <c r="J70" s="72"/>
      <c r="K70" s="73"/>
      <c r="L70" s="74"/>
      <c r="M70" s="75"/>
      <c r="N70" s="75"/>
      <c r="O70" s="75"/>
      <c r="P70" s="75"/>
      <c r="Q70" s="75"/>
      <c r="R70" s="75"/>
      <c r="S70" s="75"/>
      <c r="T70" s="75"/>
      <c r="U70" s="75"/>
      <c r="V70" s="76"/>
      <c r="W70" s="76"/>
      <c r="X70" s="76"/>
      <c r="Y70" s="76"/>
      <c r="Z70" s="76"/>
      <c r="AA70" s="76"/>
      <c r="AB70" s="76"/>
      <c r="AC70" s="76"/>
      <c r="AD70" s="76"/>
    </row>
    <row r="71" spans="1:30">
      <c r="A71" s="76"/>
      <c r="B71" s="79"/>
      <c r="C71" s="70"/>
      <c r="D71" s="70"/>
      <c r="E71" s="70"/>
      <c r="F71" s="71"/>
      <c r="G71" s="71"/>
      <c r="H71" s="71"/>
      <c r="I71" s="71"/>
      <c r="J71" s="72"/>
      <c r="K71" s="73"/>
      <c r="L71" s="74"/>
      <c r="M71" s="75"/>
      <c r="N71" s="75"/>
      <c r="O71" s="75"/>
      <c r="P71" s="75"/>
      <c r="Q71" s="75"/>
      <c r="R71" s="75"/>
      <c r="S71" s="75"/>
      <c r="T71" s="75"/>
      <c r="U71" s="75"/>
      <c r="V71" s="76"/>
      <c r="W71" s="76"/>
      <c r="X71" s="76"/>
      <c r="Y71" s="76"/>
      <c r="Z71" s="76"/>
      <c r="AA71" s="76"/>
      <c r="AB71" s="76"/>
      <c r="AC71" s="76"/>
      <c r="AD71" s="76"/>
    </row>
    <row r="72" spans="1:30">
      <c r="A72" s="76"/>
      <c r="B72" s="79"/>
      <c r="C72" s="70"/>
      <c r="D72" s="70"/>
      <c r="E72" s="70"/>
      <c r="F72" s="71"/>
      <c r="G72" s="71"/>
      <c r="H72" s="71"/>
      <c r="I72" s="71"/>
      <c r="J72" s="72"/>
      <c r="K72" s="73"/>
      <c r="L72" s="74"/>
      <c r="M72" s="75"/>
      <c r="N72" s="75"/>
      <c r="O72" s="75"/>
      <c r="P72" s="75"/>
      <c r="Q72" s="75"/>
      <c r="R72" s="75"/>
      <c r="S72" s="75"/>
      <c r="T72" s="75"/>
      <c r="U72" s="75"/>
      <c r="V72" s="76"/>
      <c r="W72" s="76"/>
      <c r="X72" s="76"/>
      <c r="Y72" s="76"/>
      <c r="Z72" s="76"/>
      <c r="AA72" s="76"/>
      <c r="AB72" s="76"/>
      <c r="AC72" s="76"/>
      <c r="AD72" s="76"/>
    </row>
    <row r="73" spans="1:30">
      <c r="A73" s="76"/>
      <c r="B73" s="79"/>
      <c r="C73" s="70"/>
      <c r="D73" s="70"/>
      <c r="E73" s="70"/>
      <c r="F73" s="71"/>
      <c r="G73" s="71"/>
      <c r="H73" s="71"/>
      <c r="I73" s="71"/>
      <c r="J73" s="72"/>
      <c r="K73" s="73"/>
      <c r="L73" s="74"/>
      <c r="M73" s="75"/>
      <c r="N73" s="75"/>
      <c r="O73" s="75"/>
      <c r="P73" s="75"/>
      <c r="Q73" s="75"/>
      <c r="R73" s="75"/>
      <c r="S73" s="75"/>
      <c r="T73" s="75"/>
      <c r="U73" s="75"/>
      <c r="V73" s="76"/>
      <c r="W73" s="76"/>
      <c r="X73" s="76"/>
      <c r="Y73" s="76"/>
      <c r="Z73" s="76"/>
      <c r="AA73" s="76"/>
      <c r="AB73" s="76"/>
      <c r="AC73" s="76"/>
      <c r="AD73" s="76"/>
    </row>
    <row r="74" spans="1:30">
      <c r="A74" s="76"/>
      <c r="B74" s="79"/>
      <c r="C74" s="70"/>
      <c r="D74" s="70"/>
      <c r="E74" s="70"/>
      <c r="F74" s="71"/>
      <c r="G74" s="71"/>
      <c r="H74" s="71"/>
      <c r="I74" s="71"/>
      <c r="J74" s="72"/>
      <c r="K74" s="73"/>
      <c r="L74" s="74"/>
      <c r="M74" s="75"/>
      <c r="N74" s="75"/>
      <c r="O74" s="75"/>
      <c r="P74" s="75"/>
      <c r="Q74" s="75"/>
      <c r="R74" s="75"/>
      <c r="S74" s="75"/>
      <c r="T74" s="75"/>
      <c r="U74" s="75"/>
      <c r="V74" s="76"/>
      <c r="W74" s="76"/>
      <c r="X74" s="76"/>
      <c r="Y74" s="76"/>
      <c r="Z74" s="76"/>
      <c r="AA74" s="76"/>
      <c r="AB74" s="76"/>
      <c r="AC74" s="76"/>
      <c r="AD74" s="76"/>
    </row>
    <row r="75" spans="1:30">
      <c r="A75" s="76"/>
      <c r="B75" s="79"/>
      <c r="C75" s="70"/>
      <c r="D75" s="70"/>
      <c r="E75" s="70"/>
      <c r="F75" s="71"/>
      <c r="G75" s="71"/>
      <c r="H75" s="71"/>
      <c r="I75" s="71"/>
      <c r="J75" s="72"/>
      <c r="K75" s="73"/>
      <c r="L75" s="74"/>
      <c r="M75" s="75"/>
      <c r="N75" s="75"/>
      <c r="O75" s="75"/>
      <c r="P75" s="75"/>
      <c r="Q75" s="75"/>
      <c r="R75" s="75"/>
      <c r="S75" s="75"/>
      <c r="T75" s="75"/>
      <c r="U75" s="75"/>
      <c r="V75" s="76"/>
      <c r="W75" s="76"/>
      <c r="X75" s="76"/>
      <c r="Y75" s="76"/>
      <c r="Z75" s="76"/>
      <c r="AA75" s="76"/>
      <c r="AB75" s="76"/>
      <c r="AC75" s="76"/>
      <c r="AD75" s="76"/>
    </row>
  </sheetData>
  <mergeCells count="1">
    <mergeCell ref="J4:L4"/>
  </mergeCell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Pre Retrofit</vt:lpstr>
      <vt:lpstr>Gas</vt:lpstr>
      <vt:lpstr>Elec</vt:lpstr>
      <vt:lpstr>Energy Use</vt:lpstr>
      <vt:lpstr>Energy Use w solar thermal</vt:lpstr>
      <vt:lpstr>HDD</vt:lpstr>
      <vt:lpstr>CDD</vt:lpstr>
      <vt:lpstr>Weather Lin Regr Analysis</vt:lpstr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</dc:creator>
  <cp:lastModifiedBy>Cathy</cp:lastModifiedBy>
  <dcterms:created xsi:type="dcterms:W3CDTF">2011-09-05T16:23:18Z</dcterms:created>
  <dcterms:modified xsi:type="dcterms:W3CDTF">2013-03-12T14:36:09Z</dcterms:modified>
</cp:coreProperties>
</file>