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17.xml" ContentType="application/vnd.openxmlformats-officedocument.drawing+xml"/>
  <Override PartName="/xl/drawings/drawing28.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ml.chartshapes+xml"/>
  <Override PartName="/xl/drawings/drawing26.xml" ContentType="application/vnd.openxmlformats-officedocument.drawingml.chartshapes+xml"/>
  <Override PartName="/xl/worksheets/sheet3.xml" ContentType="application/vnd.openxmlformats-officedocument.spreadsheetml.worksheet+xml"/>
  <Override PartName="/xl/drawings/drawing13.xml" ContentType="application/vnd.openxmlformats-officedocument.drawingml.chartshapes+xml"/>
  <Override PartName="/xl/drawings/drawing22.xml" ContentType="application/vnd.openxmlformats-officedocument.drawingml.chartshapes+xml"/>
  <Override PartName="/xl/drawings/drawing24.xml" ContentType="application/vnd.openxmlformats-officedocument.drawingml.chartshapes+xml"/>
  <Override PartName="/xl/charts/chart1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ml.chartshapes+xml"/>
  <Override PartName="/xl/drawings/drawing20.xml" ContentType="application/vnd.openxmlformats-officedocument.drawingml.chartshapes+xml"/>
  <Override PartName="/xl/charts/chart16.xml" ContentType="application/vnd.openxmlformats-officedocument.drawingml.chart+xml"/>
  <Override PartName="/xl/drawings/drawing31.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ml.chartshape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ml.chartshapes+xml"/>
  <Override PartName="/xl/charts/chart5.xml" ContentType="application/vnd.openxmlformats-officedocument.drawingml.chart+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ml.chartshapes+xml"/>
  <Override PartName="/xl/drawings/drawing18.xml" ContentType="application/vnd.openxmlformats-officedocument.drawingml.chartshapes+xml"/>
  <Override PartName="/xl/drawings/drawing2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ml.chartshapes+xml"/>
  <Override PartName="/xl/drawings/drawing16.xml" ContentType="application/vnd.openxmlformats-officedocument.drawingml.chartshapes+xml"/>
  <Override PartName="/xl/drawings/drawing2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charts/chart19.xml" ContentType="application/vnd.openxmlformats-officedocument.drawingml.chart+xml"/>
  <Override PartName="/xl/drawings/drawing32.xml" ContentType="application/vnd.openxmlformats-officedocument.drawingml.chartshapes+xml"/>
  <Override PartName="/xl/drawings/drawing12.xml" ContentType="application/vnd.openxmlformats-officedocument.drawingml.chartshapes+xml"/>
  <Override PartName="/xl/drawings/drawing21.xml" ContentType="application/vnd.openxmlformats-officedocument.drawing+xml"/>
  <Override PartName="/xl/charts/chart17.xml" ContentType="application/vnd.openxmlformats-officedocument.drawingml.chart+xml"/>
  <Override PartName="/xl/drawings/drawing30.xml" ContentType="application/vnd.openxmlformats-officedocument.drawingml.chartshap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30" windowWidth="15090" windowHeight="10200"/>
  </bookViews>
  <sheets>
    <sheet name="BaseLine Data" sheetId="20" r:id="rId1"/>
    <sheet name="Pre - Post site -source MBtu" sheetId="34" r:id="rId2"/>
    <sheet name="Pre - Post with Fuels" sheetId="56" r:id="rId3"/>
    <sheet name="By # of Units" sheetId="35" r:id="rId4"/>
    <sheet name="Site and Src EUI (3)" sheetId="49" r:id="rId5"/>
    <sheet name="Site and Src EUI Not Used" sheetId="40" r:id="rId6"/>
    <sheet name="Site and Src EUI (4)" sheetId="58" r:id="rId7"/>
    <sheet name="Total PV by Fuel Type" sheetId="39" r:id="rId8"/>
    <sheet name="EUI for heatingcooling" sheetId="41" r:id="rId9"/>
    <sheet name="EUI for heatingcooling (2)" sheetId="42" r:id="rId10"/>
    <sheet name="EUI chainsaw" sheetId="43" r:id="rId11"/>
    <sheet name="EUI basement" sheetId="50" r:id="rId12"/>
    <sheet name="EUI roof attic" sheetId="51" r:id="rId13"/>
    <sheet name="Worksheet" sheetId="3" r:id="rId14"/>
    <sheet name="Sheet1" sheetId="44" r:id="rId15"/>
  </sheets>
  <externalReferences>
    <externalReference r:id="rId16"/>
  </externalReferences>
  <calcPr calcId="125725" concurrentCalc="0"/>
</workbook>
</file>

<file path=xl/calcChain.xml><?xml version="1.0" encoding="utf-8"?>
<calcChain xmlns="http://schemas.openxmlformats.org/spreadsheetml/2006/main">
  <c r="Z15" i="43"/>
  <c r="R15"/>
  <c r="AB15"/>
  <c r="J15"/>
  <c r="AD15"/>
  <c r="Z16"/>
  <c r="R16"/>
  <c r="AB16"/>
  <c r="J16"/>
  <c r="AD16"/>
  <c r="Z17"/>
  <c r="R17"/>
  <c r="AB17"/>
  <c r="J17"/>
  <c r="AD17"/>
  <c r="Z18"/>
  <c r="R18"/>
  <c r="AB18"/>
  <c r="J18"/>
  <c r="AD18"/>
  <c r="Z19"/>
  <c r="R19"/>
  <c r="AB19"/>
  <c r="J19"/>
  <c r="AD19"/>
  <c r="Z20"/>
  <c r="R20"/>
  <c r="AB20"/>
  <c r="J20"/>
  <c r="AD20"/>
  <c r="Z21"/>
  <c r="R21"/>
  <c r="AB21"/>
  <c r="J21"/>
  <c r="AD21"/>
  <c r="AD23"/>
  <c r="Z9"/>
  <c r="R9"/>
  <c r="AB9"/>
  <c r="J9"/>
  <c r="AD9"/>
  <c r="Z10"/>
  <c r="R10"/>
  <c r="AB10"/>
  <c r="J10"/>
  <c r="AD10"/>
  <c r="Z11"/>
  <c r="R11"/>
  <c r="AB11"/>
  <c r="J11"/>
  <c r="AD11"/>
  <c r="Z12"/>
  <c r="R12"/>
  <c r="AB12"/>
  <c r="J12"/>
  <c r="AD12"/>
  <c r="Z13"/>
  <c r="R13"/>
  <c r="AB13"/>
  <c r="J13"/>
  <c r="AD13"/>
  <c r="Z14"/>
  <c r="R14"/>
  <c r="AB14"/>
  <c r="J14"/>
  <c r="AD14"/>
  <c r="AD22"/>
  <c r="T9"/>
  <c r="V9"/>
  <c r="X9"/>
  <c r="T10"/>
  <c r="V10"/>
  <c r="X10"/>
  <c r="T11"/>
  <c r="V11"/>
  <c r="X11"/>
  <c r="T13"/>
  <c r="V13"/>
  <c r="X13"/>
  <c r="T14"/>
  <c r="V14"/>
  <c r="X14"/>
  <c r="X22"/>
  <c r="AE22"/>
  <c r="T15"/>
  <c r="V15"/>
  <c r="X15"/>
  <c r="T18"/>
  <c r="V18"/>
  <c r="X18"/>
  <c r="T19"/>
  <c r="V19"/>
  <c r="X19"/>
  <c r="T20"/>
  <c r="V20"/>
  <c r="X20"/>
  <c r="X23"/>
  <c r="Z21" i="42"/>
  <c r="R21"/>
  <c r="AB21"/>
  <c r="F21"/>
  <c r="AD21"/>
  <c r="Y21"/>
  <c r="Q21"/>
  <c r="AA21"/>
  <c r="AC21"/>
  <c r="Z20"/>
  <c r="R20"/>
  <c r="AB20"/>
  <c r="F20"/>
  <c r="AD20"/>
  <c r="Y20"/>
  <c r="Q20"/>
  <c r="AA20"/>
  <c r="AC20"/>
  <c r="Z19"/>
  <c r="R19"/>
  <c r="AB19"/>
  <c r="F19"/>
  <c r="AD19"/>
  <c r="Y19"/>
  <c r="Q19"/>
  <c r="AA19"/>
  <c r="AC19"/>
  <c r="Z18"/>
  <c r="R18"/>
  <c r="AB18"/>
  <c r="F18"/>
  <c r="AD18"/>
  <c r="Y18"/>
  <c r="Q18"/>
  <c r="AA18"/>
  <c r="AC18"/>
  <c r="Z17"/>
  <c r="R17"/>
  <c r="AB17"/>
  <c r="F17"/>
  <c r="AD17"/>
  <c r="Y17"/>
  <c r="Q17"/>
  <c r="AA17"/>
  <c r="AC17"/>
  <c r="Z16"/>
  <c r="R16"/>
  <c r="AB16"/>
  <c r="F16"/>
  <c r="AD16"/>
  <c r="Y16"/>
  <c r="Q16"/>
  <c r="AA16"/>
  <c r="AC16"/>
  <c r="Z15"/>
  <c r="R15"/>
  <c r="AB15"/>
  <c r="F15"/>
  <c r="AD15"/>
  <c r="Y15"/>
  <c r="Q15"/>
  <c r="AA15"/>
  <c r="AC15"/>
  <c r="Z14"/>
  <c r="R14"/>
  <c r="AB14"/>
  <c r="F14"/>
  <c r="AD14"/>
  <c r="Y14"/>
  <c r="Q14"/>
  <c r="AA14"/>
  <c r="AC14"/>
  <c r="Z13"/>
  <c r="R13"/>
  <c r="AB13"/>
  <c r="F13"/>
  <c r="AD13"/>
  <c r="Y13"/>
  <c r="Q13"/>
  <c r="AA13"/>
  <c r="AC13"/>
  <c r="Z12"/>
  <c r="R12"/>
  <c r="AB12"/>
  <c r="F12"/>
  <c r="AD12"/>
  <c r="Y12"/>
  <c r="Q12"/>
  <c r="AA12"/>
  <c r="AC12"/>
  <c r="Z11"/>
  <c r="R11"/>
  <c r="AB11"/>
  <c r="F11"/>
  <c r="AD11"/>
  <c r="Y11"/>
  <c r="Q11"/>
  <c r="AA11"/>
  <c r="AC11"/>
  <c r="Z10"/>
  <c r="R10"/>
  <c r="AB10"/>
  <c r="F10"/>
  <c r="AD10"/>
  <c r="Y10"/>
  <c r="Q10"/>
  <c r="AA10"/>
  <c r="AC10"/>
  <c r="Z9"/>
  <c r="R9"/>
  <c r="AB9"/>
  <c r="F9"/>
  <c r="AD9"/>
  <c r="Y9"/>
  <c r="Q9"/>
  <c r="AA9"/>
  <c r="AC9"/>
  <c r="I37" i="3"/>
  <c r="K37"/>
  <c r="N37"/>
  <c r="E36"/>
  <c r="N35"/>
  <c r="E34"/>
  <c r="J21" i="58"/>
  <c r="U21"/>
  <c r="J20"/>
  <c r="U20"/>
  <c r="J19"/>
  <c r="U19"/>
  <c r="J18"/>
  <c r="U18"/>
  <c r="J17"/>
  <c r="U17"/>
  <c r="J16"/>
  <c r="U16"/>
  <c r="J15"/>
  <c r="U15"/>
  <c r="J14"/>
  <c r="U14"/>
  <c r="J13"/>
  <c r="U13"/>
  <c r="J12"/>
  <c r="U12"/>
  <c r="J11"/>
  <c r="U11"/>
  <c r="J10"/>
  <c r="U10"/>
  <c r="J9"/>
  <c r="U9"/>
  <c r="AA7"/>
  <c r="Z7"/>
  <c r="Y7"/>
  <c r="AE21"/>
  <c r="AE17"/>
  <c r="AE20"/>
  <c r="AE19"/>
  <c r="AE16"/>
  <c r="AE15"/>
  <c r="AE14"/>
  <c r="AE13"/>
  <c r="AE11"/>
  <c r="AE10"/>
  <c r="AE12"/>
  <c r="AE18"/>
  <c r="AE9"/>
  <c r="AE7"/>
  <c r="AD7"/>
  <c r="AE31"/>
  <c r="AC7"/>
  <c r="AB7"/>
  <c r="AC31"/>
  <c r="S21"/>
  <c r="Q21"/>
  <c r="P21"/>
  <c r="O21"/>
  <c r="N21"/>
  <c r="M21"/>
  <c r="L21"/>
  <c r="K21"/>
  <c r="V21"/>
  <c r="I21"/>
  <c r="H21"/>
  <c r="G21"/>
  <c r="F21"/>
  <c r="E21"/>
  <c r="D21"/>
  <c r="C21"/>
  <c r="S17"/>
  <c r="Q17"/>
  <c r="P17"/>
  <c r="O17"/>
  <c r="N17"/>
  <c r="M17"/>
  <c r="L17"/>
  <c r="K17"/>
  <c r="I17"/>
  <c r="H17"/>
  <c r="G17"/>
  <c r="F17"/>
  <c r="E17"/>
  <c r="D17"/>
  <c r="C17"/>
  <c r="S20"/>
  <c r="Q20"/>
  <c r="P20"/>
  <c r="O20"/>
  <c r="N20"/>
  <c r="M20"/>
  <c r="L20"/>
  <c r="K20"/>
  <c r="I20"/>
  <c r="H20"/>
  <c r="G20"/>
  <c r="F20"/>
  <c r="E20"/>
  <c r="D20"/>
  <c r="C20"/>
  <c r="S19"/>
  <c r="Q19"/>
  <c r="P19"/>
  <c r="O19"/>
  <c r="N19"/>
  <c r="M19"/>
  <c r="L19"/>
  <c r="K19"/>
  <c r="V19"/>
  <c r="I19"/>
  <c r="H19"/>
  <c r="G19"/>
  <c r="F19"/>
  <c r="E19"/>
  <c r="D19"/>
  <c r="C19"/>
  <c r="S16"/>
  <c r="Q16"/>
  <c r="P16"/>
  <c r="O16"/>
  <c r="N16"/>
  <c r="M16"/>
  <c r="L16"/>
  <c r="K16"/>
  <c r="I16"/>
  <c r="H16"/>
  <c r="G16"/>
  <c r="F16"/>
  <c r="E16"/>
  <c r="D16"/>
  <c r="C16"/>
  <c r="S15"/>
  <c r="Q15"/>
  <c r="P15"/>
  <c r="O15"/>
  <c r="N15"/>
  <c r="M15"/>
  <c r="L15"/>
  <c r="K15"/>
  <c r="I15"/>
  <c r="H15"/>
  <c r="G15"/>
  <c r="F15"/>
  <c r="E15"/>
  <c r="D15"/>
  <c r="C15"/>
  <c r="S14"/>
  <c r="Q14"/>
  <c r="P14"/>
  <c r="O14"/>
  <c r="N14"/>
  <c r="M14"/>
  <c r="L14"/>
  <c r="K14"/>
  <c r="I14"/>
  <c r="H14"/>
  <c r="G14"/>
  <c r="F14"/>
  <c r="E14"/>
  <c r="D14"/>
  <c r="X40"/>
  <c r="C14"/>
  <c r="S13"/>
  <c r="Q13"/>
  <c r="P13"/>
  <c r="O13"/>
  <c r="N13"/>
  <c r="M13"/>
  <c r="L13"/>
  <c r="K13"/>
  <c r="I13"/>
  <c r="H13"/>
  <c r="G13"/>
  <c r="F13"/>
  <c r="E13"/>
  <c r="D13"/>
  <c r="X39"/>
  <c r="C13"/>
  <c r="S11"/>
  <c r="Q11"/>
  <c r="P11"/>
  <c r="O11"/>
  <c r="N11"/>
  <c r="M11"/>
  <c r="L11"/>
  <c r="K11"/>
  <c r="I11"/>
  <c r="H11"/>
  <c r="G11"/>
  <c r="F11"/>
  <c r="E11"/>
  <c r="D11"/>
  <c r="C11"/>
  <c r="S10"/>
  <c r="Q10"/>
  <c r="P10"/>
  <c r="O10"/>
  <c r="N10"/>
  <c r="M10"/>
  <c r="L10"/>
  <c r="K10"/>
  <c r="I10"/>
  <c r="H10"/>
  <c r="G10"/>
  <c r="F10"/>
  <c r="E10"/>
  <c r="D10"/>
  <c r="C10"/>
  <c r="S12"/>
  <c r="Q12"/>
  <c r="P12"/>
  <c r="O12"/>
  <c r="N12"/>
  <c r="M12"/>
  <c r="L12"/>
  <c r="K12"/>
  <c r="I12"/>
  <c r="H12"/>
  <c r="G12"/>
  <c r="F12"/>
  <c r="E12"/>
  <c r="D12"/>
  <c r="Y42"/>
  <c r="C12"/>
  <c r="S18"/>
  <c r="Q18"/>
  <c r="P18"/>
  <c r="O18"/>
  <c r="N18"/>
  <c r="M18"/>
  <c r="L18"/>
  <c r="K18"/>
  <c r="I18"/>
  <c r="H18"/>
  <c r="G18"/>
  <c r="F18"/>
  <c r="E18"/>
  <c r="D18"/>
  <c r="Y38"/>
  <c r="C18"/>
  <c r="S9"/>
  <c r="Q9"/>
  <c r="P9"/>
  <c r="O9"/>
  <c r="N9"/>
  <c r="M9"/>
  <c r="L9"/>
  <c r="K9"/>
  <c r="I9"/>
  <c r="H9"/>
  <c r="G9"/>
  <c r="F9"/>
  <c r="E9"/>
  <c r="D9"/>
  <c r="X34"/>
  <c r="C9"/>
  <c r="AD31"/>
  <c r="AB31"/>
  <c r="AA31"/>
  <c r="Z31"/>
  <c r="S7"/>
  <c r="Q7"/>
  <c r="P7"/>
  <c r="O7"/>
  <c r="N7"/>
  <c r="M7"/>
  <c r="L7"/>
  <c r="K7"/>
  <c r="J7"/>
  <c r="I7"/>
  <c r="H7"/>
  <c r="G7"/>
  <c r="F7"/>
  <c r="E7"/>
  <c r="D7"/>
  <c r="C7"/>
  <c r="T7" i="40"/>
  <c r="T9"/>
  <c r="T10"/>
  <c r="T11"/>
  <c r="T12"/>
  <c r="T13"/>
  <c r="T14"/>
  <c r="T15"/>
  <c r="T16"/>
  <c r="T17"/>
  <c r="T18"/>
  <c r="T19"/>
  <c r="T20"/>
  <c r="T21"/>
  <c r="Q18" i="34"/>
  <c r="S18"/>
  <c r="U18"/>
  <c r="V18"/>
  <c r="W18"/>
  <c r="Y18"/>
  <c r="Q14"/>
  <c r="S14"/>
  <c r="U14"/>
  <c r="V14"/>
  <c r="Y14"/>
  <c r="Q13"/>
  <c r="S13"/>
  <c r="U13"/>
  <c r="V13"/>
  <c r="Y13"/>
  <c r="Q12"/>
  <c r="S12"/>
  <c r="U12"/>
  <c r="V12"/>
  <c r="Y12"/>
  <c r="Q10"/>
  <c r="S10"/>
  <c r="U10"/>
  <c r="V10"/>
  <c r="Y10"/>
  <c r="V9" i="58"/>
  <c r="Z9"/>
  <c r="AA9"/>
  <c r="Y9"/>
  <c r="AA18"/>
  <c r="Z18"/>
  <c r="Y18"/>
  <c r="AD12"/>
  <c r="AA12"/>
  <c r="Z12"/>
  <c r="Y12"/>
  <c r="V10"/>
  <c r="AA10"/>
  <c r="Z10"/>
  <c r="Y10"/>
  <c r="AD11"/>
  <c r="AA11"/>
  <c r="Z11"/>
  <c r="Y11"/>
  <c r="V13"/>
  <c r="AA13"/>
  <c r="Z13"/>
  <c r="Y13"/>
  <c r="AD14"/>
  <c r="AA14"/>
  <c r="Z14"/>
  <c r="Y14"/>
  <c r="V15"/>
  <c r="AA15"/>
  <c r="Z15"/>
  <c r="Y15"/>
  <c r="V16"/>
  <c r="AA16"/>
  <c r="Z16"/>
  <c r="Y16"/>
  <c r="AA19"/>
  <c r="Z19"/>
  <c r="Y19"/>
  <c r="AA20"/>
  <c r="Z20"/>
  <c r="Y20"/>
  <c r="V17"/>
  <c r="AA17"/>
  <c r="Z17"/>
  <c r="Y17"/>
  <c r="AD21"/>
  <c r="AA21"/>
  <c r="Z21"/>
  <c r="Y21"/>
  <c r="V18"/>
  <c r="V20"/>
  <c r="X37"/>
  <c r="V12"/>
  <c r="V11"/>
  <c r="V14"/>
  <c r="Y70"/>
  <c r="W9"/>
  <c r="R18"/>
  <c r="W12"/>
  <c r="R10"/>
  <c r="Y50"/>
  <c r="W11"/>
  <c r="R13"/>
  <c r="W14"/>
  <c r="R15"/>
  <c r="Y66"/>
  <c r="W16"/>
  <c r="R19"/>
  <c r="Y74"/>
  <c r="W20"/>
  <c r="R17"/>
  <c r="Y82"/>
  <c r="W21"/>
  <c r="AB9"/>
  <c r="AC9"/>
  <c r="AD35"/>
  <c r="AB12"/>
  <c r="AC47"/>
  <c r="AB11"/>
  <c r="AB14"/>
  <c r="AB16"/>
  <c r="AC63"/>
  <c r="AB20"/>
  <c r="AC79"/>
  <c r="AB21"/>
  <c r="AC12"/>
  <c r="AC11"/>
  <c r="AC14"/>
  <c r="AC16"/>
  <c r="AC20"/>
  <c r="AD79"/>
  <c r="AC21"/>
  <c r="AD83"/>
  <c r="AD16"/>
  <c r="AD20"/>
  <c r="R9"/>
  <c r="W18"/>
  <c r="R12"/>
  <c r="AE47"/>
  <c r="W10"/>
  <c r="R11"/>
  <c r="AE55"/>
  <c r="W13"/>
  <c r="R14"/>
  <c r="Y62"/>
  <c r="W15"/>
  <c r="R16"/>
  <c r="W19"/>
  <c r="R20"/>
  <c r="Y78"/>
  <c r="W17"/>
  <c r="R21"/>
  <c r="AD9"/>
  <c r="AE35"/>
  <c r="AB18"/>
  <c r="AB10"/>
  <c r="AB13"/>
  <c r="AB15"/>
  <c r="AC59"/>
  <c r="AB19"/>
  <c r="AB17"/>
  <c r="AC67"/>
  <c r="AC18"/>
  <c r="AD71"/>
  <c r="AC10"/>
  <c r="AD39"/>
  <c r="AC13"/>
  <c r="AD51"/>
  <c r="AC15"/>
  <c r="AD59"/>
  <c r="AC19"/>
  <c r="AC17"/>
  <c r="AD18"/>
  <c r="AE71"/>
  <c r="AD10"/>
  <c r="AE39"/>
  <c r="AD13"/>
  <c r="AD15"/>
  <c r="AE59"/>
  <c r="AD19"/>
  <c r="AE79"/>
  <c r="AD17"/>
  <c r="AD43"/>
  <c r="W22"/>
  <c r="T9"/>
  <c r="AB34"/>
  <c r="AC39"/>
  <c r="T12"/>
  <c r="AE43"/>
  <c r="T11"/>
  <c r="AC55"/>
  <c r="T14"/>
  <c r="AD63"/>
  <c r="T16"/>
  <c r="AE67"/>
  <c r="AC71"/>
  <c r="T20"/>
  <c r="AE75"/>
  <c r="T21"/>
  <c r="AB82"/>
  <c r="AE83"/>
  <c r="Y34"/>
  <c r="X35"/>
  <c r="X36"/>
  <c r="X38"/>
  <c r="X41"/>
  <c r="X43"/>
  <c r="X44"/>
  <c r="X45"/>
  <c r="Y46"/>
  <c r="Y54"/>
  <c r="Y58"/>
  <c r="Z34"/>
  <c r="AA34"/>
  <c r="AC35"/>
  <c r="T18"/>
  <c r="AC43"/>
  <c r="T10"/>
  <c r="AB46"/>
  <c r="Z50"/>
  <c r="AA50"/>
  <c r="AC51"/>
  <c r="T13"/>
  <c r="AB54"/>
  <c r="AA58"/>
  <c r="T15"/>
  <c r="Z66"/>
  <c r="AA66"/>
  <c r="T19"/>
  <c r="AB70"/>
  <c r="Z74"/>
  <c r="AC75"/>
  <c r="T17"/>
  <c r="Z82"/>
  <c r="AA82"/>
  <c r="AC83"/>
  <c r="X42"/>
  <c r="X46"/>
  <c r="X37" i="3"/>
  <c r="W37"/>
  <c r="V37"/>
  <c r="U37"/>
  <c r="T37"/>
  <c r="S37"/>
  <c r="AA74" i="58"/>
  <c r="AB62"/>
  <c r="AB78"/>
  <c r="Z58"/>
  <c r="AE63"/>
  <c r="Z42"/>
  <c r="AE51"/>
  <c r="AA42"/>
  <c r="AB38"/>
  <c r="Z78"/>
  <c r="AD75"/>
  <c r="AA78"/>
  <c r="AA62"/>
  <c r="AB66"/>
  <c r="Z62"/>
  <c r="AD67"/>
  <c r="AA70"/>
  <c r="Z54"/>
  <c r="Z46"/>
  <c r="AA38"/>
  <c r="AB74"/>
  <c r="Z70"/>
  <c r="AB58"/>
  <c r="AA54"/>
  <c r="AB50"/>
  <c r="AA46"/>
  <c r="AB42"/>
  <c r="Z38"/>
  <c r="AD47"/>
  <c r="T22"/>
  <c r="AD55"/>
  <c r="T20" i="39"/>
  <c r="AD21"/>
  <c r="AB21"/>
  <c r="AD20"/>
  <c r="AB20"/>
  <c r="AD19"/>
  <c r="AB19"/>
  <c r="AD18"/>
  <c r="AB18"/>
  <c r="AD17"/>
  <c r="AB17"/>
  <c r="Y21"/>
  <c r="W21"/>
  <c r="V21"/>
  <c r="Y20"/>
  <c r="W20"/>
  <c r="V20"/>
  <c r="Y19"/>
  <c r="W19"/>
  <c r="V19"/>
  <c r="Y18"/>
  <c r="W18"/>
  <c r="V18"/>
  <c r="Y17"/>
  <c r="W17"/>
  <c r="V17"/>
  <c r="Y16"/>
  <c r="W16"/>
  <c r="V16"/>
  <c r="AD16"/>
  <c r="AB16"/>
  <c r="AD7"/>
  <c r="AB7"/>
  <c r="X19"/>
  <c r="AB39"/>
  <c r="X21"/>
  <c r="AB45"/>
  <c r="AD33"/>
  <c r="AA32"/>
  <c r="AD39"/>
  <c r="AA38"/>
  <c r="AD45"/>
  <c r="AA44"/>
  <c r="AC16"/>
  <c r="Y29"/>
  <c r="AC30"/>
  <c r="Z29"/>
  <c r="AD30"/>
  <c r="AA29"/>
  <c r="AD36"/>
  <c r="AA35"/>
  <c r="AD42"/>
  <c r="AA41"/>
  <c r="AC33"/>
  <c r="Z32"/>
  <c r="AC36"/>
  <c r="Z35"/>
  <c r="AC39"/>
  <c r="Z38"/>
  <c r="AC42"/>
  <c r="Z41"/>
  <c r="AC45"/>
  <c r="Z44"/>
  <c r="AC17"/>
  <c r="Y32"/>
  <c r="AC18"/>
  <c r="Y35"/>
  <c r="AC19"/>
  <c r="Y38"/>
  <c r="AC20"/>
  <c r="Y41"/>
  <c r="AC21"/>
  <c r="Y44"/>
  <c r="Z19"/>
  <c r="Z21"/>
  <c r="X18"/>
  <c r="AB36"/>
  <c r="X20"/>
  <c r="AB42"/>
  <c r="X17"/>
  <c r="AB33"/>
  <c r="Y7"/>
  <c r="V7"/>
  <c r="W7"/>
  <c r="AF84" i="40"/>
  <c r="AF80"/>
  <c r="AF76"/>
  <c r="AF72"/>
  <c r="AF68"/>
  <c r="AF64"/>
  <c r="AF60"/>
  <c r="AF56"/>
  <c r="AF52"/>
  <c r="AF48"/>
  <c r="AF44"/>
  <c r="AF40"/>
  <c r="Z7"/>
  <c r="Y7"/>
  <c r="Z31"/>
  <c r="AF7"/>
  <c r="AE7"/>
  <c r="AD31"/>
  <c r="AD7"/>
  <c r="AC7"/>
  <c r="AC31"/>
  <c r="AB7"/>
  <c r="AB31"/>
  <c r="AA7"/>
  <c r="AA31"/>
  <c r="Z20" i="39"/>
  <c r="Z17"/>
  <c r="Z18"/>
  <c r="X16"/>
  <c r="AB30"/>
  <c r="AF36" i="40"/>
  <c r="AE31"/>
  <c r="Z16" i="39"/>
  <c r="AC21" i="56"/>
  <c r="AC20"/>
  <c r="AC19"/>
  <c r="AC18"/>
  <c r="AC17"/>
  <c r="AC16"/>
  <c r="AC15"/>
  <c r="AC14"/>
  <c r="AC13"/>
  <c r="AC12"/>
  <c r="AC11"/>
  <c r="AC10"/>
  <c r="AC9"/>
  <c r="AA21"/>
  <c r="AA20"/>
  <c r="AA19"/>
  <c r="AA18"/>
  <c r="AA17"/>
  <c r="AA16"/>
  <c r="AA15"/>
  <c r="AA14"/>
  <c r="AA13"/>
  <c r="AA12"/>
  <c r="AA11"/>
  <c r="AA10"/>
  <c r="AA9"/>
  <c r="Z21"/>
  <c r="Z20"/>
  <c r="Z19"/>
  <c r="Z18"/>
  <c r="Z17"/>
  <c r="Z16"/>
  <c r="Z15"/>
  <c r="Z14"/>
  <c r="Z13"/>
  <c r="Z12"/>
  <c r="Z11"/>
  <c r="Z10"/>
  <c r="Z9"/>
  <c r="AC7"/>
  <c r="AA7"/>
  <c r="Z7"/>
  <c r="Y21"/>
  <c r="Y20"/>
  <c r="Y19"/>
  <c r="Y18"/>
  <c r="Y17"/>
  <c r="Y16"/>
  <c r="Y15"/>
  <c r="Y14"/>
  <c r="Y13"/>
  <c r="Y12"/>
  <c r="Y11"/>
  <c r="Y10"/>
  <c r="Y9"/>
  <c r="X21"/>
  <c r="X20"/>
  <c r="X19"/>
  <c r="X18"/>
  <c r="X17"/>
  <c r="X16"/>
  <c r="X15"/>
  <c r="X14"/>
  <c r="X13"/>
  <c r="X12"/>
  <c r="X11"/>
  <c r="X10"/>
  <c r="X9"/>
  <c r="W21"/>
  <c r="W20"/>
  <c r="W19"/>
  <c r="W18"/>
  <c r="W17"/>
  <c r="W16"/>
  <c r="W15"/>
  <c r="W14"/>
  <c r="W13"/>
  <c r="W12"/>
  <c r="W11"/>
  <c r="W10"/>
  <c r="W9"/>
  <c r="V21"/>
  <c r="V20"/>
  <c r="V19"/>
  <c r="V18"/>
  <c r="V17"/>
  <c r="V16"/>
  <c r="V15"/>
  <c r="V14"/>
  <c r="V13"/>
  <c r="V12"/>
  <c r="V11"/>
  <c r="V10"/>
  <c r="V9"/>
  <c r="Y7"/>
  <c r="X7"/>
  <c r="W7"/>
  <c r="V7"/>
  <c r="AE7"/>
  <c r="S21" i="49"/>
  <c r="R21"/>
  <c r="S20"/>
  <c r="R20"/>
  <c r="S19"/>
  <c r="R19"/>
  <c r="R18"/>
  <c r="S18"/>
  <c r="AE7"/>
  <c r="V55" i="56"/>
  <c r="W55"/>
  <c r="X55"/>
  <c r="Y55"/>
  <c r="Z56"/>
  <c r="AA56"/>
  <c r="AB56"/>
  <c r="AC56"/>
  <c r="V58"/>
  <c r="W58"/>
  <c r="X58"/>
  <c r="Y58"/>
  <c r="Z59"/>
  <c r="AA59"/>
  <c r="AB59"/>
  <c r="AC59"/>
  <c r="V61"/>
  <c r="W61"/>
  <c r="X61"/>
  <c r="Y61"/>
  <c r="Z62"/>
  <c r="AA62"/>
  <c r="AB62"/>
  <c r="AC62"/>
  <c r="V64"/>
  <c r="W64"/>
  <c r="X64"/>
  <c r="Y64"/>
  <c r="Z65"/>
  <c r="AA65"/>
  <c r="AB65"/>
  <c r="AC65"/>
  <c r="V25"/>
  <c r="W25"/>
  <c r="X25"/>
  <c r="Y25"/>
  <c r="Z25"/>
  <c r="AA25"/>
  <c r="AB25"/>
  <c r="AC25"/>
  <c r="V28"/>
  <c r="W28"/>
  <c r="X28"/>
  <c r="Y28"/>
  <c r="Z29"/>
  <c r="AA29"/>
  <c r="AB29"/>
  <c r="AC29"/>
  <c r="V31"/>
  <c r="W31"/>
  <c r="X31"/>
  <c r="Y31"/>
  <c r="Z32"/>
  <c r="AA32"/>
  <c r="AB32"/>
  <c r="AC32"/>
  <c r="V34"/>
  <c r="W34"/>
  <c r="X34"/>
  <c r="Y34"/>
  <c r="Z35"/>
  <c r="AA35"/>
  <c r="AB35"/>
  <c r="AC35"/>
  <c r="V37"/>
  <c r="W37"/>
  <c r="X37"/>
  <c r="Y37"/>
  <c r="Z38"/>
  <c r="AA38"/>
  <c r="AB38"/>
  <c r="AC38"/>
  <c r="V40"/>
  <c r="W40"/>
  <c r="X40"/>
  <c r="Y40"/>
  <c r="Z41"/>
  <c r="AA41"/>
  <c r="AB41"/>
  <c r="AC41"/>
  <c r="V43"/>
  <c r="W43"/>
  <c r="X43"/>
  <c r="Y43"/>
  <c r="Z44"/>
  <c r="AA44"/>
  <c r="AB44"/>
  <c r="AC44"/>
  <c r="V46"/>
  <c r="W46"/>
  <c r="X46"/>
  <c r="Y46"/>
  <c r="Z47"/>
  <c r="AA47"/>
  <c r="AB47"/>
  <c r="AC47"/>
  <c r="V49"/>
  <c r="W49"/>
  <c r="X49"/>
  <c r="Y49"/>
  <c r="Z50"/>
  <c r="AA50"/>
  <c r="AB50"/>
  <c r="AC50"/>
  <c r="V52"/>
  <c r="W52"/>
  <c r="X52"/>
  <c r="Y52"/>
  <c r="Z53"/>
  <c r="AA53"/>
  <c r="AB53"/>
  <c r="AC53"/>
  <c r="U21"/>
  <c r="T21"/>
  <c r="S21"/>
  <c r="R21"/>
  <c r="Q21"/>
  <c r="P21"/>
  <c r="U20"/>
  <c r="T20"/>
  <c r="S20"/>
  <c r="R20"/>
  <c r="Q20"/>
  <c r="P20"/>
  <c r="U19"/>
  <c r="T19"/>
  <c r="S19"/>
  <c r="R19"/>
  <c r="Q19"/>
  <c r="P19"/>
  <c r="U18"/>
  <c r="T18"/>
  <c r="S18"/>
  <c r="R18"/>
  <c r="Q18"/>
  <c r="P18"/>
  <c r="U17"/>
  <c r="T17"/>
  <c r="S17"/>
  <c r="R17"/>
  <c r="Q17"/>
  <c r="P17"/>
  <c r="L17"/>
  <c r="U16"/>
  <c r="T16"/>
  <c r="S16"/>
  <c r="R16"/>
  <c r="Q16"/>
  <c r="P16"/>
  <c r="U15"/>
  <c r="T15"/>
  <c r="S15"/>
  <c r="R15"/>
  <c r="Q15"/>
  <c r="P15"/>
  <c r="U14"/>
  <c r="T14"/>
  <c r="S14"/>
  <c r="R14"/>
  <c r="Q14"/>
  <c r="P14"/>
  <c r="U13"/>
  <c r="T13"/>
  <c r="S13"/>
  <c r="R13"/>
  <c r="Q13"/>
  <c r="P13"/>
  <c r="L13"/>
  <c r="U12"/>
  <c r="T12"/>
  <c r="S12"/>
  <c r="R12"/>
  <c r="Q12"/>
  <c r="P12"/>
  <c r="U11"/>
  <c r="T11"/>
  <c r="S11"/>
  <c r="R11"/>
  <c r="Q11"/>
  <c r="P11"/>
  <c r="L11"/>
  <c r="U10"/>
  <c r="T10"/>
  <c r="S10"/>
  <c r="R10"/>
  <c r="Q10"/>
  <c r="P10"/>
  <c r="L10"/>
  <c r="U9"/>
  <c r="T9"/>
  <c r="S9"/>
  <c r="R9"/>
  <c r="Q9"/>
  <c r="P9"/>
  <c r="U7"/>
  <c r="T7"/>
  <c r="S7"/>
  <c r="R7"/>
  <c r="Q7"/>
  <c r="P7"/>
  <c r="O7"/>
  <c r="N7"/>
  <c r="M7"/>
  <c r="L7"/>
  <c r="K7"/>
  <c r="J7"/>
  <c r="I7"/>
  <c r="H7"/>
  <c r="G7"/>
  <c r="F7"/>
  <c r="E7"/>
  <c r="D7"/>
  <c r="C7"/>
  <c r="Z14" i="51"/>
  <c r="Y14"/>
  <c r="T14"/>
  <c r="S14"/>
  <c r="R14"/>
  <c r="Q14"/>
  <c r="M14"/>
  <c r="Z13"/>
  <c r="Y13"/>
  <c r="T13"/>
  <c r="S13"/>
  <c r="R13"/>
  <c r="Q13"/>
  <c r="Z21"/>
  <c r="Y21"/>
  <c r="T21"/>
  <c r="S21"/>
  <c r="R21"/>
  <c r="Q21"/>
  <c r="Z17"/>
  <c r="Y17"/>
  <c r="T17"/>
  <c r="S17"/>
  <c r="R17"/>
  <c r="Q17"/>
  <c r="Z12"/>
  <c r="Y12"/>
  <c r="T12"/>
  <c r="S12"/>
  <c r="R12"/>
  <c r="Q12"/>
  <c r="Z20"/>
  <c r="Y20"/>
  <c r="T20"/>
  <c r="S20"/>
  <c r="R20"/>
  <c r="Q20"/>
  <c r="Z15"/>
  <c r="Y15"/>
  <c r="T15"/>
  <c r="S15"/>
  <c r="R15"/>
  <c r="Q15"/>
  <c r="Z10"/>
  <c r="Y10"/>
  <c r="T10"/>
  <c r="S10"/>
  <c r="R10"/>
  <c r="Q10"/>
  <c r="M10"/>
  <c r="Z9"/>
  <c r="Y9"/>
  <c r="T9"/>
  <c r="S9"/>
  <c r="R9"/>
  <c r="Q9"/>
  <c r="M9"/>
  <c r="Z19"/>
  <c r="Y19"/>
  <c r="T19"/>
  <c r="S19"/>
  <c r="R19"/>
  <c r="Q19"/>
  <c r="Z11"/>
  <c r="Y11"/>
  <c r="T11"/>
  <c r="S11"/>
  <c r="R11"/>
  <c r="Q11"/>
  <c r="M11"/>
  <c r="Z16"/>
  <c r="Y16"/>
  <c r="T16"/>
  <c r="S16"/>
  <c r="R16"/>
  <c r="Q16"/>
  <c r="Z18"/>
  <c r="Y18"/>
  <c r="T18"/>
  <c r="S18"/>
  <c r="R18"/>
  <c r="Q18"/>
  <c r="Z7"/>
  <c r="Y7"/>
  <c r="T7"/>
  <c r="S7"/>
  <c r="R7"/>
  <c r="Q7"/>
  <c r="P7"/>
  <c r="O7"/>
  <c r="N7"/>
  <c r="M7"/>
  <c r="L7"/>
  <c r="K7"/>
  <c r="J7"/>
  <c r="I7"/>
  <c r="H7"/>
  <c r="G7"/>
  <c r="F7"/>
  <c r="E7"/>
  <c r="D7"/>
  <c r="C7"/>
  <c r="Z21" i="50"/>
  <c r="Y21"/>
  <c r="T21"/>
  <c r="S21"/>
  <c r="R21"/>
  <c r="Q21"/>
  <c r="M21"/>
  <c r="Z20"/>
  <c r="Y20"/>
  <c r="T20"/>
  <c r="S20"/>
  <c r="R20"/>
  <c r="Q20"/>
  <c r="Z17"/>
  <c r="Y17"/>
  <c r="T17"/>
  <c r="S17"/>
  <c r="R17"/>
  <c r="Q17"/>
  <c r="Z11"/>
  <c r="Y11"/>
  <c r="T11"/>
  <c r="S11"/>
  <c r="R11"/>
  <c r="Q11"/>
  <c r="M11"/>
  <c r="Z14"/>
  <c r="Y14"/>
  <c r="T14"/>
  <c r="S14"/>
  <c r="R14"/>
  <c r="Q14"/>
  <c r="M14"/>
  <c r="Z13"/>
  <c r="Y13"/>
  <c r="T13"/>
  <c r="S13"/>
  <c r="R13"/>
  <c r="Q13"/>
  <c r="M13"/>
  <c r="Z12"/>
  <c r="Y12"/>
  <c r="T12"/>
  <c r="S12"/>
  <c r="R12"/>
  <c r="Q12"/>
  <c r="Z9"/>
  <c r="Y9"/>
  <c r="T9"/>
  <c r="S9"/>
  <c r="R9"/>
  <c r="Q9"/>
  <c r="Z19"/>
  <c r="Y19"/>
  <c r="T19"/>
  <c r="S19"/>
  <c r="R19"/>
  <c r="Q19"/>
  <c r="Z18"/>
  <c r="Y18"/>
  <c r="T18"/>
  <c r="S18"/>
  <c r="R18"/>
  <c r="Q18"/>
  <c r="Z16"/>
  <c r="Y16"/>
  <c r="T16"/>
  <c r="S16"/>
  <c r="R16"/>
  <c r="Q16"/>
  <c r="Z10"/>
  <c r="Y10"/>
  <c r="T10"/>
  <c r="S10"/>
  <c r="R10"/>
  <c r="Q10"/>
  <c r="Z15"/>
  <c r="Y15"/>
  <c r="T15"/>
  <c r="S15"/>
  <c r="R15"/>
  <c r="Q15"/>
  <c r="Z7"/>
  <c r="Y7"/>
  <c r="T7"/>
  <c r="S7"/>
  <c r="R7"/>
  <c r="Q7"/>
  <c r="P7"/>
  <c r="O7"/>
  <c r="N7"/>
  <c r="M7"/>
  <c r="L7"/>
  <c r="K7"/>
  <c r="J7"/>
  <c r="I7"/>
  <c r="H7"/>
  <c r="G7"/>
  <c r="F7"/>
  <c r="E7"/>
  <c r="D7"/>
  <c r="C7"/>
  <c r="V18" i="51"/>
  <c r="AB18"/>
  <c r="V16"/>
  <c r="AB16"/>
  <c r="V11"/>
  <c r="AB11"/>
  <c r="V19"/>
  <c r="AB19"/>
  <c r="V9"/>
  <c r="AB9"/>
  <c r="V10"/>
  <c r="AB10"/>
  <c r="V15"/>
  <c r="AB15"/>
  <c r="V20"/>
  <c r="AB20"/>
  <c r="V12"/>
  <c r="AB12"/>
  <c r="V17"/>
  <c r="AB17"/>
  <c r="V21"/>
  <c r="AB21"/>
  <c r="V13"/>
  <c r="AB13"/>
  <c r="V14"/>
  <c r="AB14"/>
  <c r="U18"/>
  <c r="AA18"/>
  <c r="U16"/>
  <c r="AA16"/>
  <c r="U11"/>
  <c r="AA11"/>
  <c r="U19"/>
  <c r="AA19"/>
  <c r="U9"/>
  <c r="AA9"/>
  <c r="U10"/>
  <c r="AA10"/>
  <c r="U15"/>
  <c r="AA15"/>
  <c r="U20"/>
  <c r="AA20"/>
  <c r="U12"/>
  <c r="AA12"/>
  <c r="U17"/>
  <c r="AA17"/>
  <c r="U21"/>
  <c r="AA21"/>
  <c r="U13"/>
  <c r="AA13"/>
  <c r="U14"/>
  <c r="AA14"/>
  <c r="V16" i="50"/>
  <c r="AB16"/>
  <c r="V18"/>
  <c r="AB18"/>
  <c r="V19"/>
  <c r="AB19"/>
  <c r="V9"/>
  <c r="AB9"/>
  <c r="V12"/>
  <c r="AB12"/>
  <c r="V13"/>
  <c r="AB13"/>
  <c r="V14"/>
  <c r="AB14"/>
  <c r="V11"/>
  <c r="AB11"/>
  <c r="V17"/>
  <c r="AB17"/>
  <c r="V20"/>
  <c r="AB20"/>
  <c r="V21"/>
  <c r="AB21"/>
  <c r="V15"/>
  <c r="AB15"/>
  <c r="V10"/>
  <c r="AB10"/>
  <c r="U15"/>
  <c r="AA15"/>
  <c r="U10"/>
  <c r="AA10"/>
  <c r="U16"/>
  <c r="AA16"/>
  <c r="U18"/>
  <c r="AA18"/>
  <c r="U19"/>
  <c r="AA19"/>
  <c r="U9"/>
  <c r="AA9"/>
  <c r="U12"/>
  <c r="AA12"/>
  <c r="U13"/>
  <c r="AA13"/>
  <c r="U14"/>
  <c r="AA14"/>
  <c r="U11"/>
  <c r="AA11"/>
  <c r="U17"/>
  <c r="AA17"/>
  <c r="U20"/>
  <c r="AA20"/>
  <c r="U21"/>
  <c r="AA21"/>
  <c r="T18" i="39"/>
  <c r="S18"/>
  <c r="T16"/>
  <c r="S16"/>
  <c r="T17"/>
  <c r="S17"/>
  <c r="T21"/>
  <c r="S21"/>
  <c r="T19"/>
  <c r="S19"/>
  <c r="Q21" i="49"/>
  <c r="Q20"/>
  <c r="Q19"/>
  <c r="Q18"/>
  <c r="P21"/>
  <c r="P20"/>
  <c r="P19"/>
  <c r="P18"/>
  <c r="Q17"/>
  <c r="Q16"/>
  <c r="Q15"/>
  <c r="Q14"/>
  <c r="Q13"/>
  <c r="Q12"/>
  <c r="Q11"/>
  <c r="Q10"/>
  <c r="Q9"/>
  <c r="Q7"/>
  <c r="P17"/>
  <c r="P16"/>
  <c r="P15"/>
  <c r="P14"/>
  <c r="P13"/>
  <c r="P12"/>
  <c r="P11"/>
  <c r="P10"/>
  <c r="P9"/>
  <c r="P7"/>
  <c r="W21"/>
  <c r="V21"/>
  <c r="W20"/>
  <c r="V20"/>
  <c r="W19"/>
  <c r="V19"/>
  <c r="W18"/>
  <c r="V18"/>
  <c r="W17"/>
  <c r="V17"/>
  <c r="L17"/>
  <c r="W16"/>
  <c r="V16"/>
  <c r="W15"/>
  <c r="V15"/>
  <c r="L15"/>
  <c r="W14"/>
  <c r="V14"/>
  <c r="W13"/>
  <c r="V13"/>
  <c r="L13"/>
  <c r="W12"/>
  <c r="V12"/>
  <c r="W11"/>
  <c r="V11"/>
  <c r="W10"/>
  <c r="V10"/>
  <c r="W9"/>
  <c r="V9"/>
  <c r="L9"/>
  <c r="W7"/>
  <c r="V7"/>
  <c r="O7"/>
  <c r="N7"/>
  <c r="M7"/>
  <c r="L7"/>
  <c r="K7"/>
  <c r="J7"/>
  <c r="I7"/>
  <c r="H7"/>
  <c r="G7"/>
  <c r="F7"/>
  <c r="E7"/>
  <c r="D7"/>
  <c r="C7"/>
  <c r="R7" i="35"/>
  <c r="T7"/>
  <c r="P7"/>
  <c r="W7"/>
  <c r="N48" i="3"/>
  <c r="K48"/>
  <c r="I48"/>
  <c r="G48"/>
  <c r="E47"/>
  <c r="K47"/>
  <c r="I47"/>
  <c r="G47"/>
  <c r="N47"/>
  <c r="N45"/>
  <c r="M45"/>
  <c r="K45"/>
  <c r="I45"/>
  <c r="G45"/>
  <c r="E44"/>
  <c r="M44"/>
  <c r="K44"/>
  <c r="I44"/>
  <c r="G44"/>
  <c r="N41"/>
  <c r="M41"/>
  <c r="K41"/>
  <c r="I41"/>
  <c r="G41"/>
  <c r="E40"/>
  <c r="M40"/>
  <c r="K40"/>
  <c r="I40"/>
  <c r="G40"/>
  <c r="K7"/>
  <c r="N40"/>
  <c r="K36"/>
  <c r="I36"/>
  <c r="G36"/>
  <c r="G37"/>
  <c r="K34"/>
  <c r="I34"/>
  <c r="K6"/>
  <c r="G34"/>
  <c r="K5"/>
  <c r="K4"/>
  <c r="J20"/>
  <c r="I20"/>
  <c r="H20"/>
  <c r="G20"/>
  <c r="F20"/>
  <c r="AI11" i="42"/>
  <c r="AI15"/>
  <c r="AI14"/>
  <c r="AI12"/>
  <c r="AI10"/>
  <c r="AI13"/>
  <c r="AI9"/>
  <c r="AI17"/>
  <c r="AI16"/>
  <c r="E21" i="3"/>
  <c r="J21"/>
  <c r="I21"/>
  <c r="H21"/>
  <c r="G21"/>
  <c r="F21"/>
  <c r="E28"/>
  <c r="J28"/>
  <c r="I28"/>
  <c r="H28"/>
  <c r="G28"/>
  <c r="F28"/>
  <c r="J27"/>
  <c r="I27"/>
  <c r="H27"/>
  <c r="G27"/>
  <c r="F27"/>
  <c r="E26"/>
  <c r="J26"/>
  <c r="I26"/>
  <c r="H26"/>
  <c r="G26"/>
  <c r="F26"/>
  <c r="D16" i="20"/>
  <c r="D14" i="41"/>
  <c r="D14" i="20"/>
  <c r="D20" i="43"/>
  <c r="D10" i="20"/>
  <c r="D12" i="41"/>
  <c r="D9" i="20"/>
  <c r="D15" i="43"/>
  <c r="T9" i="39"/>
  <c r="T11"/>
  <c r="T14"/>
  <c r="T13"/>
  <c r="T15"/>
  <c r="T10"/>
  <c r="T12"/>
  <c r="Y14" i="43"/>
  <c r="S14"/>
  <c r="Q14"/>
  <c r="M14"/>
  <c r="Y12"/>
  <c r="T12"/>
  <c r="S12"/>
  <c r="Q12"/>
  <c r="Y9"/>
  <c r="S9"/>
  <c r="Q9"/>
  <c r="M9"/>
  <c r="Y17"/>
  <c r="T17"/>
  <c r="S17"/>
  <c r="Q17"/>
  <c r="Y21"/>
  <c r="T21"/>
  <c r="S21"/>
  <c r="Q21"/>
  <c r="Y13"/>
  <c r="S13"/>
  <c r="Q13"/>
  <c r="Y20"/>
  <c r="S20"/>
  <c r="Q20"/>
  <c r="Y18"/>
  <c r="S18"/>
  <c r="Q18"/>
  <c r="Y11"/>
  <c r="S11"/>
  <c r="Q11"/>
  <c r="M11"/>
  <c r="Y10"/>
  <c r="S10"/>
  <c r="Q10"/>
  <c r="AA10"/>
  <c r="M10"/>
  <c r="Y15"/>
  <c r="S15"/>
  <c r="Q15"/>
  <c r="Y16"/>
  <c r="T16"/>
  <c r="S16"/>
  <c r="Q16"/>
  <c r="Y19"/>
  <c r="S19"/>
  <c r="Q19"/>
  <c r="Z7"/>
  <c r="Y7"/>
  <c r="T7"/>
  <c r="S7"/>
  <c r="R7"/>
  <c r="Q7"/>
  <c r="P7"/>
  <c r="O7"/>
  <c r="N7"/>
  <c r="M7"/>
  <c r="L7"/>
  <c r="K7"/>
  <c r="J7"/>
  <c r="I7"/>
  <c r="H7"/>
  <c r="G7"/>
  <c r="F7"/>
  <c r="E7"/>
  <c r="D7"/>
  <c r="C7"/>
  <c r="V12"/>
  <c r="U12"/>
  <c r="F9" i="20"/>
  <c r="F10"/>
  <c r="F11"/>
  <c r="F12"/>
  <c r="F13"/>
  <c r="F14"/>
  <c r="F15"/>
  <c r="F16"/>
  <c r="F17"/>
  <c r="F18"/>
  <c r="F19"/>
  <c r="F20"/>
  <c r="F21"/>
  <c r="G9"/>
  <c r="G15" i="43"/>
  <c r="G10" i="20"/>
  <c r="G11" i="43"/>
  <c r="G11" i="20"/>
  <c r="G14" i="43"/>
  <c r="G12" i="20"/>
  <c r="G18" i="43"/>
  <c r="G13" i="20"/>
  <c r="G13" i="42"/>
  <c r="G14" i="20"/>
  <c r="G17" i="40"/>
  <c r="G15" i="20"/>
  <c r="G16" i="41"/>
  <c r="G16" i="20"/>
  <c r="G16" i="42"/>
  <c r="G17" i="20"/>
  <c r="G11" i="40"/>
  <c r="G18" i="20"/>
  <c r="F18" i="34"/>
  <c r="G19" i="20"/>
  <c r="G19" i="42"/>
  <c r="G20" i="20"/>
  <c r="F20" i="35"/>
  <c r="G21" i="20"/>
  <c r="G20" i="41"/>
  <c r="I9" i="20"/>
  <c r="J9"/>
  <c r="K9"/>
  <c r="L9"/>
  <c r="M9"/>
  <c r="I10"/>
  <c r="J10"/>
  <c r="K10"/>
  <c r="L10"/>
  <c r="M10"/>
  <c r="I11"/>
  <c r="J11"/>
  <c r="K11"/>
  <c r="L11"/>
  <c r="M11"/>
  <c r="I12"/>
  <c r="J12"/>
  <c r="K12"/>
  <c r="L12"/>
  <c r="M12"/>
  <c r="I13"/>
  <c r="J13"/>
  <c r="K13"/>
  <c r="L13"/>
  <c r="M13"/>
  <c r="I14"/>
  <c r="J14"/>
  <c r="K14"/>
  <c r="L14"/>
  <c r="M14"/>
  <c r="I15"/>
  <c r="J15"/>
  <c r="K15"/>
  <c r="L15"/>
  <c r="M15"/>
  <c r="I16"/>
  <c r="J16"/>
  <c r="K16"/>
  <c r="L16"/>
  <c r="M16"/>
  <c r="I17"/>
  <c r="J17"/>
  <c r="K17"/>
  <c r="L17"/>
  <c r="M17"/>
  <c r="I18"/>
  <c r="J18"/>
  <c r="K18"/>
  <c r="L18"/>
  <c r="M18"/>
  <c r="I19"/>
  <c r="J19"/>
  <c r="K19"/>
  <c r="L19"/>
  <c r="M19"/>
  <c r="I20"/>
  <c r="J20"/>
  <c r="K20"/>
  <c r="L20"/>
  <c r="M20"/>
  <c r="I21"/>
  <c r="J21"/>
  <c r="K21"/>
  <c r="L21"/>
  <c r="M21"/>
  <c r="E9"/>
  <c r="E9" i="42"/>
  <c r="E10" i="20"/>
  <c r="E11"/>
  <c r="E11" i="42"/>
  <c r="E12" i="20"/>
  <c r="E13" i="41"/>
  <c r="E13" i="20"/>
  <c r="E14"/>
  <c r="E14" i="35"/>
  <c r="E15" i="20"/>
  <c r="E15" i="42"/>
  <c r="E16" i="20"/>
  <c r="E16" i="42"/>
  <c r="E17" i="20"/>
  <c r="E11" i="40"/>
  <c r="E18" i="20"/>
  <c r="E21" i="40"/>
  <c r="E19" i="20"/>
  <c r="E11" i="41"/>
  <c r="E20" i="20"/>
  <c r="E20" i="42"/>
  <c r="E21" i="20"/>
  <c r="E20" i="41"/>
  <c r="N9" i="20"/>
  <c r="I9" i="42"/>
  <c r="N10" i="20"/>
  <c r="H10" i="34"/>
  <c r="N11" i="20"/>
  <c r="I12" i="39"/>
  <c r="N12" i="20"/>
  <c r="I19" i="39"/>
  <c r="N13" i="20"/>
  <c r="I13" i="42"/>
  <c r="N14" i="20"/>
  <c r="H14" i="35"/>
  <c r="N15" i="20"/>
  <c r="I16" i="41"/>
  <c r="N16" i="20"/>
  <c r="H16" i="34"/>
  <c r="N17" i="20"/>
  <c r="H17" i="35"/>
  <c r="N18" i="20"/>
  <c r="H18" i="34"/>
  <c r="N19" i="20"/>
  <c r="N20"/>
  <c r="H20" i="34"/>
  <c r="N21" i="20"/>
  <c r="H21" i="34"/>
  <c r="P9" i="20"/>
  <c r="P10"/>
  <c r="P11"/>
  <c r="P12"/>
  <c r="P13"/>
  <c r="P14"/>
  <c r="P15"/>
  <c r="P16"/>
  <c r="P17"/>
  <c r="P18"/>
  <c r="P19"/>
  <c r="P20"/>
  <c r="P21"/>
  <c r="R9"/>
  <c r="S9"/>
  <c r="T9"/>
  <c r="Z9"/>
  <c r="O9" i="42"/>
  <c r="U9" i="20"/>
  <c r="L9" i="39"/>
  <c r="R10" i="20"/>
  <c r="S10"/>
  <c r="T10"/>
  <c r="J10" i="34"/>
  <c r="U10" i="20"/>
  <c r="K10" i="35"/>
  <c r="R11" i="20"/>
  <c r="S11"/>
  <c r="T11"/>
  <c r="Z11"/>
  <c r="O11" i="42"/>
  <c r="U11" i="20"/>
  <c r="L11" i="42"/>
  <c r="R12" i="20"/>
  <c r="S12"/>
  <c r="T12"/>
  <c r="X12"/>
  <c r="U12"/>
  <c r="W12"/>
  <c r="R13"/>
  <c r="S13"/>
  <c r="T13"/>
  <c r="K10" i="43"/>
  <c r="U13" i="20"/>
  <c r="W13"/>
  <c r="R14"/>
  <c r="S14"/>
  <c r="T14"/>
  <c r="V14"/>
  <c r="M20" i="43"/>
  <c r="U14" i="20"/>
  <c r="W14"/>
  <c r="R15"/>
  <c r="S15"/>
  <c r="T15"/>
  <c r="K13" i="43"/>
  <c r="U15" i="20"/>
  <c r="W15"/>
  <c r="N13" i="43"/>
  <c r="R16" i="20"/>
  <c r="S16"/>
  <c r="T16"/>
  <c r="J16" i="34"/>
  <c r="U16" i="20"/>
  <c r="L16" i="42"/>
  <c r="R17" i="20"/>
  <c r="S17"/>
  <c r="T17"/>
  <c r="K9" i="43"/>
  <c r="U17" i="20"/>
  <c r="K17" i="35"/>
  <c r="R18" i="20"/>
  <c r="S18"/>
  <c r="T18"/>
  <c r="J18" i="35"/>
  <c r="U18" i="20"/>
  <c r="W18"/>
  <c r="R19"/>
  <c r="S19"/>
  <c r="T19"/>
  <c r="V19"/>
  <c r="M11" i="39"/>
  <c r="U19" i="20"/>
  <c r="L16" i="43"/>
  <c r="R20" i="20"/>
  <c r="S20"/>
  <c r="T20"/>
  <c r="X20"/>
  <c r="U20"/>
  <c r="L20" i="42"/>
  <c r="R21" i="20"/>
  <c r="S21"/>
  <c r="T21"/>
  <c r="K10" i="39"/>
  <c r="U21" i="20"/>
  <c r="W21"/>
  <c r="N12" i="43"/>
  <c r="K14"/>
  <c r="Z7" i="42"/>
  <c r="Y7"/>
  <c r="T7"/>
  <c r="S7"/>
  <c r="R7"/>
  <c r="Q7"/>
  <c r="P7"/>
  <c r="O7"/>
  <c r="N7"/>
  <c r="M7"/>
  <c r="L7"/>
  <c r="K7"/>
  <c r="J7"/>
  <c r="I7"/>
  <c r="H7"/>
  <c r="G7"/>
  <c r="F7"/>
  <c r="E7"/>
  <c r="D7"/>
  <c r="C7"/>
  <c r="R7" i="41"/>
  <c r="Q19"/>
  <c r="Q21"/>
  <c r="Q20"/>
  <c r="Q18"/>
  <c r="Q17"/>
  <c r="Q15"/>
  <c r="Q16"/>
  <c r="Q13"/>
  <c r="Q12"/>
  <c r="Q9"/>
  <c r="Q11"/>
  <c r="Q10"/>
  <c r="Q7"/>
  <c r="Q14"/>
  <c r="Z19"/>
  <c r="Z21"/>
  <c r="Z20"/>
  <c r="Z18"/>
  <c r="Z17"/>
  <c r="Z15"/>
  <c r="D15"/>
  <c r="Z16"/>
  <c r="Z13"/>
  <c r="Z12"/>
  <c r="Z9"/>
  <c r="Z11"/>
  <c r="Z10"/>
  <c r="Z14"/>
  <c r="Z7"/>
  <c r="Y7"/>
  <c r="T7"/>
  <c r="S7"/>
  <c r="P7"/>
  <c r="O7"/>
  <c r="N7"/>
  <c r="M7"/>
  <c r="L7"/>
  <c r="K7"/>
  <c r="J7"/>
  <c r="I7"/>
  <c r="H7"/>
  <c r="G7"/>
  <c r="F7"/>
  <c r="E7"/>
  <c r="D7"/>
  <c r="C7"/>
  <c r="S20" i="40"/>
  <c r="S19"/>
  <c r="S18"/>
  <c r="S17"/>
  <c r="S16"/>
  <c r="S21"/>
  <c r="S15"/>
  <c r="S10"/>
  <c r="S9"/>
  <c r="S13"/>
  <c r="S12"/>
  <c r="S11"/>
  <c r="S14"/>
  <c r="S7"/>
  <c r="Q7"/>
  <c r="P7"/>
  <c r="O7"/>
  <c r="N7"/>
  <c r="M7"/>
  <c r="L7"/>
  <c r="K7"/>
  <c r="J7"/>
  <c r="I7"/>
  <c r="H7"/>
  <c r="G7"/>
  <c r="F7"/>
  <c r="E7"/>
  <c r="D7"/>
  <c r="C7"/>
  <c r="S12" i="39"/>
  <c r="S10"/>
  <c r="S15"/>
  <c r="S13"/>
  <c r="S14"/>
  <c r="S11"/>
  <c r="S9"/>
  <c r="S20"/>
  <c r="T7"/>
  <c r="S7"/>
  <c r="Q7"/>
  <c r="P7"/>
  <c r="O7"/>
  <c r="N7"/>
  <c r="M7"/>
  <c r="L7"/>
  <c r="K7"/>
  <c r="J7"/>
  <c r="I7"/>
  <c r="H7"/>
  <c r="G7"/>
  <c r="F7"/>
  <c r="E7"/>
  <c r="D7"/>
  <c r="C7"/>
  <c r="Q7" i="35"/>
  <c r="O7"/>
  <c r="N7"/>
  <c r="M7"/>
  <c r="L7"/>
  <c r="K7"/>
  <c r="J7"/>
  <c r="I7"/>
  <c r="H7"/>
  <c r="G7"/>
  <c r="F7"/>
  <c r="E7"/>
  <c r="D7"/>
  <c r="C7"/>
  <c r="P14" i="34"/>
  <c r="P15"/>
  <c r="P13"/>
  <c r="P10"/>
  <c r="P12"/>
  <c r="P11"/>
  <c r="P9"/>
  <c r="P17"/>
  <c r="U16"/>
  <c r="P16"/>
  <c r="U20"/>
  <c r="W20"/>
  <c r="P20"/>
  <c r="U19"/>
  <c r="W19"/>
  <c r="P19"/>
  <c r="P18"/>
  <c r="U21"/>
  <c r="W21"/>
  <c r="P21"/>
  <c r="U7"/>
  <c r="T7"/>
  <c r="S7"/>
  <c r="R7"/>
  <c r="Q7"/>
  <c r="P7"/>
  <c r="O7"/>
  <c r="N7"/>
  <c r="M7"/>
  <c r="L7"/>
  <c r="K7"/>
  <c r="J7"/>
  <c r="I7"/>
  <c r="H7"/>
  <c r="G7"/>
  <c r="F7"/>
  <c r="E7"/>
  <c r="D7"/>
  <c r="C7"/>
  <c r="Q21" i="20"/>
  <c r="O21"/>
  <c r="I21" i="35"/>
  <c r="Q20" i="20"/>
  <c r="O20"/>
  <c r="Q19"/>
  <c r="O19"/>
  <c r="I19" i="34"/>
  <c r="Q18" i="20"/>
  <c r="O18"/>
  <c r="Q17"/>
  <c r="O17"/>
  <c r="I17" i="35"/>
  <c r="Q16" i="20"/>
  <c r="O16"/>
  <c r="Q15"/>
  <c r="O15"/>
  <c r="I15" i="35"/>
  <c r="Q14" i="20"/>
  <c r="O14"/>
  <c r="Q13"/>
  <c r="O13"/>
  <c r="I13" i="35"/>
  <c r="Q12" i="20"/>
  <c r="O12"/>
  <c r="Q11"/>
  <c r="O11"/>
  <c r="I11" i="34"/>
  <c r="Q10" i="20"/>
  <c r="O10"/>
  <c r="Q9"/>
  <c r="O9"/>
  <c r="J9" i="39"/>
  <c r="C9" i="20"/>
  <c r="F15" i="43"/>
  <c r="D21" i="20"/>
  <c r="D12" i="43"/>
  <c r="D20" i="20"/>
  <c r="D20" i="35"/>
  <c r="D19" i="20"/>
  <c r="D16" i="43"/>
  <c r="D18" i="20"/>
  <c r="D17" i="43"/>
  <c r="D17" i="20"/>
  <c r="D9" i="43"/>
  <c r="D15" i="20"/>
  <c r="D13" i="43"/>
  <c r="D13" i="20"/>
  <c r="D12"/>
  <c r="D18" i="43"/>
  <c r="D11" i="20"/>
  <c r="D14" i="43"/>
  <c r="C21" i="20"/>
  <c r="C12" i="43"/>
  <c r="C20" i="20"/>
  <c r="C19"/>
  <c r="C16" i="43"/>
  <c r="C18" i="20"/>
  <c r="F17" i="43"/>
  <c r="C17" i="20"/>
  <c r="C9" i="43"/>
  <c r="C16" i="20"/>
  <c r="C15"/>
  <c r="C13" i="43"/>
  <c r="C14" i="20"/>
  <c r="F20" i="43"/>
  <c r="C13" i="20"/>
  <c r="C10" i="43"/>
  <c r="C12" i="20"/>
  <c r="C11"/>
  <c r="C14" i="43"/>
  <c r="C10" i="20"/>
  <c r="F11" i="43"/>
  <c r="AQ15" i="20"/>
  <c r="H15"/>
  <c r="H15" i="42"/>
  <c r="AQ9" i="20"/>
  <c r="H9"/>
  <c r="H15" i="43"/>
  <c r="AQ11" i="20"/>
  <c r="H11"/>
  <c r="H14" i="43"/>
  <c r="AQ13" i="20"/>
  <c r="H13"/>
  <c r="H13" i="42"/>
  <c r="AQ17" i="20"/>
  <c r="AE17" i="56"/>
  <c r="H17" i="20"/>
  <c r="H11" i="40"/>
  <c r="AQ10" i="20"/>
  <c r="H10"/>
  <c r="H10" i="42"/>
  <c r="AQ21" i="20"/>
  <c r="AE21" i="56"/>
  <c r="H21" i="20"/>
  <c r="G21" i="35"/>
  <c r="AQ14" i="20"/>
  <c r="H14"/>
  <c r="H17" i="40"/>
  <c r="AQ16" i="20"/>
  <c r="H16"/>
  <c r="H19" i="43"/>
  <c r="AQ19" i="20"/>
  <c r="H19"/>
  <c r="H10" i="40"/>
  <c r="AQ12" i="20"/>
  <c r="H12"/>
  <c r="H19" i="39"/>
  <c r="AQ18" i="20"/>
  <c r="H18"/>
  <c r="H19" i="41"/>
  <c r="AQ20" i="20"/>
  <c r="H20"/>
  <c r="H20" i="42"/>
  <c r="E12"/>
  <c r="H10" i="43"/>
  <c r="D13" i="42"/>
  <c r="Q20" i="34"/>
  <c r="Q21"/>
  <c r="Q19"/>
  <c r="Q16"/>
  <c r="Q17"/>
  <c r="Q11"/>
  <c r="Q9"/>
  <c r="Q15"/>
  <c r="S12" i="42"/>
  <c r="S13" i="41"/>
  <c r="R12" i="34"/>
  <c r="S19" i="42"/>
  <c r="S11" i="41"/>
  <c r="R19" i="34"/>
  <c r="S16" i="42"/>
  <c r="S14" i="41"/>
  <c r="R16" i="34"/>
  <c r="S17" i="42"/>
  <c r="S18" i="41"/>
  <c r="R17" i="34"/>
  <c r="S11" i="42"/>
  <c r="S21" i="41"/>
  <c r="R11" i="34"/>
  <c r="S9" i="42"/>
  <c r="S10" i="41"/>
  <c r="R9" i="34"/>
  <c r="S15" i="42"/>
  <c r="S16" i="41"/>
  <c r="R15" i="34"/>
  <c r="S20" i="42"/>
  <c r="S17" i="41"/>
  <c r="R20" i="34"/>
  <c r="S18" i="42"/>
  <c r="S19" i="41"/>
  <c r="R18" i="34"/>
  <c r="S14" i="42"/>
  <c r="S15" i="41"/>
  <c r="R14" i="34"/>
  <c r="S21" i="42"/>
  <c r="S20" i="41"/>
  <c r="R21" i="34"/>
  <c r="S10" i="42"/>
  <c r="S12" i="41"/>
  <c r="R10" i="34"/>
  <c r="S13" i="42"/>
  <c r="S9" i="41"/>
  <c r="R13" i="34"/>
  <c r="T18" i="42"/>
  <c r="V18"/>
  <c r="T19" i="41"/>
  <c r="T20" i="42"/>
  <c r="T17" i="41"/>
  <c r="S20" i="34"/>
  <c r="T19" i="42"/>
  <c r="V19"/>
  <c r="T11" i="41"/>
  <c r="S19" i="34"/>
  <c r="T21" i="42"/>
  <c r="T20" i="41"/>
  <c r="S21" i="34"/>
  <c r="T9" i="42"/>
  <c r="T10" i="41"/>
  <c r="S9" i="34"/>
  <c r="T15" i="42"/>
  <c r="T16" i="41"/>
  <c r="S15" i="34"/>
  <c r="V9" i="20"/>
  <c r="M9" i="42"/>
  <c r="T12"/>
  <c r="T13" i="41"/>
  <c r="T16" i="42"/>
  <c r="T14" i="41"/>
  <c r="S16" i="34"/>
  <c r="V16"/>
  <c r="X16"/>
  <c r="Z16"/>
  <c r="T14" i="42"/>
  <c r="T15" i="41"/>
  <c r="T10" i="42"/>
  <c r="T12" i="41"/>
  <c r="T17" i="42"/>
  <c r="T18" i="41"/>
  <c r="S17" i="34"/>
  <c r="T13" i="42"/>
  <c r="T9" i="41"/>
  <c r="T11" i="42"/>
  <c r="T21" i="41"/>
  <c r="S11" i="34"/>
  <c r="Y17" i="41"/>
  <c r="Q18" i="40"/>
  <c r="Q15" i="39"/>
  <c r="T20" i="34"/>
  <c r="Y11" i="41"/>
  <c r="Q10" i="40"/>
  <c r="Q11" i="39"/>
  <c r="T19" i="34"/>
  <c r="Y12" i="41"/>
  <c r="Q13" i="40"/>
  <c r="Q17" i="39"/>
  <c r="T10" i="34"/>
  <c r="Y18" i="41"/>
  <c r="AA18"/>
  <c r="Q11" i="40"/>
  <c r="Q16" i="39"/>
  <c r="T17" i="34"/>
  <c r="Y9" i="41"/>
  <c r="Q12" i="40"/>
  <c r="Q18" i="39"/>
  <c r="T13" i="34"/>
  <c r="Y19" i="41"/>
  <c r="Q21" i="40"/>
  <c r="Q21" i="39"/>
  <c r="T18" i="34"/>
  <c r="Y13" i="41"/>
  <c r="Q15" i="40"/>
  <c r="Q19" i="39"/>
  <c r="T12" i="34"/>
  <c r="Y14" i="41"/>
  <c r="AA14"/>
  <c r="Q14" i="40"/>
  <c r="Q20" i="39"/>
  <c r="T16" i="34"/>
  <c r="Y15" i="41"/>
  <c r="Q17" i="40"/>
  <c r="Q13" i="39"/>
  <c r="T14" i="34"/>
  <c r="Y20" i="41"/>
  <c r="Q19" i="40"/>
  <c r="Q10" i="39"/>
  <c r="T21" i="34"/>
  <c r="Y21" i="41"/>
  <c r="Q20" i="40"/>
  <c r="Q12" i="39"/>
  <c r="T11" i="34"/>
  <c r="Y10" i="41"/>
  <c r="AA10"/>
  <c r="Q9" i="40"/>
  <c r="Q9" i="39"/>
  <c r="T9" i="34"/>
  <c r="Y16" i="41"/>
  <c r="Q16" i="40"/>
  <c r="Q14" i="39"/>
  <c r="T15" i="34"/>
  <c r="R17" i="41"/>
  <c r="R19"/>
  <c r="R13"/>
  <c r="R14"/>
  <c r="AB14"/>
  <c r="R15"/>
  <c r="AB15"/>
  <c r="R20"/>
  <c r="R21"/>
  <c r="R10"/>
  <c r="R16"/>
  <c r="G20" i="42"/>
  <c r="G21"/>
  <c r="G15"/>
  <c r="R11" i="41"/>
  <c r="R12"/>
  <c r="V17" i="42"/>
  <c r="R18" i="41"/>
  <c r="AL13" i="42"/>
  <c r="R9" i="41"/>
  <c r="C15" i="42"/>
  <c r="G21" i="40"/>
  <c r="E14"/>
  <c r="H12" i="41"/>
  <c r="G18"/>
  <c r="G21"/>
  <c r="F19"/>
  <c r="G18" i="40"/>
  <c r="G15"/>
  <c r="E17"/>
  <c r="E13"/>
  <c r="G12" i="41"/>
  <c r="E9" i="40"/>
  <c r="D9"/>
  <c r="C11" i="41"/>
  <c r="D11"/>
  <c r="C21" i="40"/>
  <c r="C9"/>
  <c r="F10"/>
  <c r="G20" i="39"/>
  <c r="G12"/>
  <c r="C13"/>
  <c r="D13"/>
  <c r="C9"/>
  <c r="G15"/>
  <c r="G19"/>
  <c r="G11"/>
  <c r="E13"/>
  <c r="E17"/>
  <c r="H16"/>
  <c r="D9"/>
  <c r="F16"/>
  <c r="E18" i="34"/>
  <c r="G19"/>
  <c r="F16"/>
  <c r="F17"/>
  <c r="D10"/>
  <c r="E20" i="35"/>
  <c r="G18"/>
  <c r="F12" i="34"/>
  <c r="F12" i="35"/>
  <c r="G16"/>
  <c r="E10"/>
  <c r="F10" i="34"/>
  <c r="F10" i="35"/>
  <c r="F15"/>
  <c r="D9"/>
  <c r="C17"/>
  <c r="P17"/>
  <c r="D17"/>
  <c r="F14" i="34"/>
  <c r="F13"/>
  <c r="C13"/>
  <c r="M17" i="42"/>
  <c r="X11" i="20"/>
  <c r="X18"/>
  <c r="V16"/>
  <c r="M14" i="40"/>
  <c r="K13"/>
  <c r="L14" i="42"/>
  <c r="M19"/>
  <c r="I17"/>
  <c r="H11" i="34"/>
  <c r="I17" i="39"/>
  <c r="H21" i="35"/>
  <c r="I13" i="40"/>
  <c r="I20" i="41"/>
  <c r="I20" i="40"/>
  <c r="I10" i="42"/>
  <c r="I11"/>
  <c r="I19"/>
  <c r="H11" i="35"/>
  <c r="I18" i="39"/>
  <c r="H9" i="35"/>
  <c r="I21" i="41"/>
  <c r="H19" i="34"/>
  <c r="I11" i="39"/>
  <c r="I11" i="41"/>
  <c r="J9" i="42"/>
  <c r="H9" i="34"/>
  <c r="H10" i="35"/>
  <c r="H19"/>
  <c r="H13"/>
  <c r="I10" i="40"/>
  <c r="I12"/>
  <c r="I9" i="34"/>
  <c r="J11" i="39"/>
  <c r="J20" i="40"/>
  <c r="V20"/>
  <c r="I14" i="42"/>
  <c r="I13" i="34"/>
  <c r="H14"/>
  <c r="H15"/>
  <c r="I14" i="39"/>
  <c r="I14" i="41"/>
  <c r="I16" i="40"/>
  <c r="K12"/>
  <c r="J11" i="34"/>
  <c r="K12" i="39"/>
  <c r="K20" i="40"/>
  <c r="K17" i="42"/>
  <c r="I12" i="34"/>
  <c r="I14" i="35"/>
  <c r="J21"/>
  <c r="J19" i="41"/>
  <c r="K21" i="42"/>
  <c r="J9" i="34"/>
  <c r="J19"/>
  <c r="J13"/>
  <c r="J9" i="35"/>
  <c r="K11" i="41"/>
  <c r="K9"/>
  <c r="K9" i="42"/>
  <c r="K10"/>
  <c r="K11" i="39"/>
  <c r="K18"/>
  <c r="K10" i="40"/>
  <c r="AB12" i="41"/>
  <c r="V21" i="42"/>
  <c r="J20" i="35"/>
  <c r="J16"/>
  <c r="J12"/>
  <c r="K19" i="39"/>
  <c r="K18" i="40"/>
  <c r="K14"/>
  <c r="K15"/>
  <c r="M16" i="39"/>
  <c r="M11" i="40"/>
  <c r="K18" i="42"/>
  <c r="AB10" i="41"/>
  <c r="K9" i="34"/>
  <c r="J20"/>
  <c r="K19"/>
  <c r="J18"/>
  <c r="J14"/>
  <c r="K13"/>
  <c r="J12"/>
  <c r="K11"/>
  <c r="J15"/>
  <c r="K10"/>
  <c r="K15" i="39"/>
  <c r="K20"/>
  <c r="K17" i="41"/>
  <c r="K14"/>
  <c r="K13"/>
  <c r="L17" i="34"/>
  <c r="L17" i="35"/>
  <c r="M18" i="41"/>
  <c r="K20" i="42"/>
  <c r="K12"/>
  <c r="K12" i="35"/>
  <c r="O20" i="40"/>
  <c r="L17"/>
  <c r="M11" i="42"/>
  <c r="M21" i="41"/>
  <c r="M20" i="40"/>
  <c r="M12" i="39"/>
  <c r="L11" i="35"/>
  <c r="L11" i="34"/>
  <c r="M13" i="42"/>
  <c r="M9" i="41"/>
  <c r="M12" i="40"/>
  <c r="M18" i="39"/>
  <c r="L13" i="35"/>
  <c r="L13" i="34"/>
  <c r="M10" i="42"/>
  <c r="M12" i="41"/>
  <c r="M13" i="40"/>
  <c r="M17" i="39"/>
  <c r="L10" i="35"/>
  <c r="L10" i="34"/>
  <c r="L9"/>
  <c r="L14" i="41"/>
  <c r="O9" i="40"/>
  <c r="N9" i="35"/>
  <c r="L16" i="34"/>
  <c r="N9"/>
  <c r="U17"/>
  <c r="U15"/>
  <c r="U11"/>
  <c r="U9"/>
  <c r="V9"/>
  <c r="V11"/>
  <c r="X11"/>
  <c r="Z11"/>
  <c r="Z12"/>
  <c r="Z14"/>
  <c r="V17"/>
  <c r="Z21" i="20"/>
  <c r="D10" i="43"/>
  <c r="D18" i="39"/>
  <c r="X35"/>
  <c r="E13" i="42"/>
  <c r="E18" i="39"/>
  <c r="O9"/>
  <c r="O10" i="41"/>
  <c r="O21"/>
  <c r="N11" i="35"/>
  <c r="N11" i="34"/>
  <c r="M10" i="40"/>
  <c r="L19" i="35"/>
  <c r="O12" i="39"/>
  <c r="L19" i="34"/>
  <c r="K16" i="42"/>
  <c r="K15"/>
  <c r="K16" i="41"/>
  <c r="K15"/>
  <c r="K19"/>
  <c r="K13" i="39"/>
  <c r="K21"/>
  <c r="K14" i="42"/>
  <c r="K16" i="40"/>
  <c r="K17"/>
  <c r="K21"/>
  <c r="K14" i="39"/>
  <c r="J15" i="35"/>
  <c r="J14"/>
  <c r="K11" i="40"/>
  <c r="K9" i="39"/>
  <c r="K16"/>
  <c r="J13" i="35"/>
  <c r="K13" i="42"/>
  <c r="K10" i="41"/>
  <c r="K18"/>
  <c r="K12"/>
  <c r="K17" i="39"/>
  <c r="J17" i="34"/>
  <c r="J12" i="42"/>
  <c r="K21" i="41"/>
  <c r="K20"/>
  <c r="J11" i="35"/>
  <c r="J19"/>
  <c r="K19" i="42"/>
  <c r="K11"/>
  <c r="J16" i="40"/>
  <c r="V16"/>
  <c r="I12" i="35"/>
  <c r="K9" i="40"/>
  <c r="I15" i="42"/>
  <c r="J18" i="39"/>
  <c r="J21"/>
  <c r="H15" i="35"/>
  <c r="I9" i="40"/>
  <c r="I11"/>
  <c r="I9" i="39"/>
  <c r="H17" i="34"/>
  <c r="H13"/>
  <c r="I18" i="41"/>
  <c r="I16" i="39"/>
  <c r="I21" i="42"/>
  <c r="I19" i="40"/>
  <c r="I10" i="39"/>
  <c r="I9" i="41"/>
  <c r="I10"/>
  <c r="C10" i="34"/>
  <c r="D21" i="35"/>
  <c r="D11" i="34"/>
  <c r="G11" i="35"/>
  <c r="E12" i="34"/>
  <c r="J17" i="35"/>
  <c r="G15" i="34"/>
  <c r="G10"/>
  <c r="E16"/>
  <c r="G20"/>
  <c r="G17" i="39"/>
  <c r="G13"/>
  <c r="E19"/>
  <c r="G9" i="35"/>
  <c r="H17" i="39"/>
  <c r="E21"/>
  <c r="C13" i="40"/>
  <c r="D9" i="41"/>
  <c r="H12" i="40"/>
  <c r="G13"/>
  <c r="G13" i="41"/>
  <c r="E18" i="40"/>
  <c r="F12" i="41"/>
  <c r="G14" i="40"/>
  <c r="H15"/>
  <c r="G10" i="42"/>
  <c r="G12"/>
  <c r="D21"/>
  <c r="H9" i="43"/>
  <c r="F21"/>
  <c r="G35" i="3"/>
  <c r="AB17" i="41"/>
  <c r="U21" i="43"/>
  <c r="M9" i="40"/>
  <c r="J15" i="41"/>
  <c r="I18" i="34"/>
  <c r="I20" i="35"/>
  <c r="J17" i="40"/>
  <c r="J15" i="39"/>
  <c r="R15"/>
  <c r="I20" i="34"/>
  <c r="J13" i="42"/>
  <c r="J21" i="41"/>
  <c r="J20"/>
  <c r="J20" i="39"/>
  <c r="J10"/>
  <c r="R10"/>
  <c r="I18" i="35"/>
  <c r="I19"/>
  <c r="J16" i="41"/>
  <c r="J21" i="40"/>
  <c r="V21"/>
  <c r="J19"/>
  <c r="J12" i="39"/>
  <c r="I10" i="35"/>
  <c r="I11"/>
  <c r="J16" i="39"/>
  <c r="Y18" i="20"/>
  <c r="Y14"/>
  <c r="Y21"/>
  <c r="G9" i="34"/>
  <c r="C18"/>
  <c r="D19" i="35"/>
  <c r="D13" i="34"/>
  <c r="G17" i="35"/>
  <c r="C14"/>
  <c r="Q14"/>
  <c r="G14" i="34"/>
  <c r="G12"/>
  <c r="D11" i="39"/>
  <c r="H18"/>
  <c r="C21"/>
  <c r="C17"/>
  <c r="C17" i="40"/>
  <c r="D20" i="41"/>
  <c r="D18"/>
  <c r="D21"/>
  <c r="H20" i="40"/>
  <c r="E10"/>
  <c r="H21"/>
  <c r="F15" i="41"/>
  <c r="H9" i="40"/>
  <c r="V14" i="42"/>
  <c r="AQ14"/>
  <c r="D17"/>
  <c r="D11"/>
  <c r="W12" i="43"/>
  <c r="F19"/>
  <c r="D14" i="42"/>
  <c r="AE16" i="40"/>
  <c r="AD63"/>
  <c r="AC16"/>
  <c r="AC63"/>
  <c r="AA16"/>
  <c r="AA62"/>
  <c r="Y16"/>
  <c r="Z62"/>
  <c r="AF16"/>
  <c r="AE63"/>
  <c r="AD16"/>
  <c r="AB16"/>
  <c r="AB62"/>
  <c r="Z16"/>
  <c r="AG64"/>
  <c r="AE20"/>
  <c r="AD79"/>
  <c r="AC20"/>
  <c r="AC79"/>
  <c r="AA20"/>
  <c r="AA78"/>
  <c r="Y20"/>
  <c r="Z78"/>
  <c r="AF20"/>
  <c r="AE79"/>
  <c r="AD20"/>
  <c r="AB20"/>
  <c r="AB78"/>
  <c r="Z20"/>
  <c r="AG80"/>
  <c r="H11" i="43"/>
  <c r="F18"/>
  <c r="AF17" i="40"/>
  <c r="AE67"/>
  <c r="AB17"/>
  <c r="AB66"/>
  <c r="AE17"/>
  <c r="AD67"/>
  <c r="AA17"/>
  <c r="AA66"/>
  <c r="AF21"/>
  <c r="AE83"/>
  <c r="AD21"/>
  <c r="AB21"/>
  <c r="AB82"/>
  <c r="Z21"/>
  <c r="AG84"/>
  <c r="AE21"/>
  <c r="AC21"/>
  <c r="AC83"/>
  <c r="AA21"/>
  <c r="AA82"/>
  <c r="Y21"/>
  <c r="Z82"/>
  <c r="AF19"/>
  <c r="AE75"/>
  <c r="AB19"/>
  <c r="AB74"/>
  <c r="AE19"/>
  <c r="AD75"/>
  <c r="AA19"/>
  <c r="AA74"/>
  <c r="Y34"/>
  <c r="X34"/>
  <c r="U20" i="43"/>
  <c r="W20"/>
  <c r="R12" i="39"/>
  <c r="R18"/>
  <c r="R16" i="40"/>
  <c r="U17"/>
  <c r="M14" i="41"/>
  <c r="K16" i="34"/>
  <c r="L21" i="39"/>
  <c r="K20" i="35"/>
  <c r="L21" i="42"/>
  <c r="L20" i="40"/>
  <c r="L12"/>
  <c r="L10"/>
  <c r="L19"/>
  <c r="L12" i="39"/>
  <c r="K21" i="35"/>
  <c r="L17" i="42"/>
  <c r="K17" i="34"/>
  <c r="I20" i="42"/>
  <c r="I14" i="40"/>
  <c r="H16" i="35"/>
  <c r="I12" i="41"/>
  <c r="Y9" i="20"/>
  <c r="W16"/>
  <c r="N16" i="42"/>
  <c r="Y12" i="20"/>
  <c r="D15" i="34"/>
  <c r="F9" i="35"/>
  <c r="F19" i="34"/>
  <c r="D18" i="35"/>
  <c r="E11" i="34"/>
  <c r="F18" i="39"/>
  <c r="E9"/>
  <c r="F16" i="40"/>
  <c r="D16" i="41"/>
  <c r="C21"/>
  <c r="E16" i="40"/>
  <c r="E19"/>
  <c r="D17" i="41"/>
  <c r="G9"/>
  <c r="AB18"/>
  <c r="AB11"/>
  <c r="AB16"/>
  <c r="AB21"/>
  <c r="AL12" i="42"/>
  <c r="G17"/>
  <c r="F10" i="43"/>
  <c r="D10" i="42"/>
  <c r="U13" i="43"/>
  <c r="W13"/>
  <c r="U17"/>
  <c r="AA14"/>
  <c r="AL17" i="42"/>
  <c r="F20" i="40"/>
  <c r="C16" i="41"/>
  <c r="D13"/>
  <c r="D15" i="42"/>
  <c r="D21" i="43"/>
  <c r="K15"/>
  <c r="D11"/>
  <c r="V16" i="42"/>
  <c r="AO16"/>
  <c r="V13" i="41"/>
  <c r="H19" i="42"/>
  <c r="H16" i="43"/>
  <c r="U15"/>
  <c r="R9" i="39"/>
  <c r="AB20" i="41"/>
  <c r="AA20" i="43"/>
  <c r="AC20"/>
  <c r="AA13"/>
  <c r="AA21"/>
  <c r="AC21"/>
  <c r="AA17"/>
  <c r="U14"/>
  <c r="W14"/>
  <c r="AC17"/>
  <c r="AE20" i="49"/>
  <c r="AE20" i="56"/>
  <c r="AE18" i="49"/>
  <c r="AE18" i="56"/>
  <c r="AE14" i="49"/>
  <c r="AE12" i="56"/>
  <c r="AE19" i="49"/>
  <c r="AE19" i="56"/>
  <c r="W16" i="35"/>
  <c r="AE16" i="56"/>
  <c r="W14" i="35"/>
  <c r="AE14" i="56"/>
  <c r="W10" i="35"/>
  <c r="AE10" i="56"/>
  <c r="AE15" i="49"/>
  <c r="AE13" i="56"/>
  <c r="AE13" i="49"/>
  <c r="AE11" i="56"/>
  <c r="AE12" i="49"/>
  <c r="AE9" i="56"/>
  <c r="AE16" i="49"/>
  <c r="AE15" i="56"/>
  <c r="L16" i="35"/>
  <c r="N14" i="41"/>
  <c r="L13"/>
  <c r="L17"/>
  <c r="L19" i="39"/>
  <c r="K12" i="34"/>
  <c r="K20"/>
  <c r="L21" i="40"/>
  <c r="L16"/>
  <c r="L13" i="39"/>
  <c r="L9" i="35"/>
  <c r="K16"/>
  <c r="L12" i="41"/>
  <c r="L10"/>
  <c r="K9" i="35"/>
  <c r="J13" i="41"/>
  <c r="J14"/>
  <c r="J17"/>
  <c r="J19" i="39"/>
  <c r="I16" i="35"/>
  <c r="I15" i="34"/>
  <c r="J14" i="42"/>
  <c r="J15"/>
  <c r="J15" i="40"/>
  <c r="V15"/>
  <c r="J18"/>
  <c r="J13" i="39"/>
  <c r="J14"/>
  <c r="I14" i="34"/>
  <c r="J11" i="42"/>
  <c r="I16"/>
  <c r="J13" i="40"/>
  <c r="J10" i="41"/>
  <c r="AD10"/>
  <c r="J9"/>
  <c r="J11"/>
  <c r="I9" i="35"/>
  <c r="I20" i="39"/>
  <c r="I10" i="34"/>
  <c r="I16"/>
  <c r="H18" i="35"/>
  <c r="H20"/>
  <c r="I21" i="34"/>
  <c r="J10" i="42"/>
  <c r="J12" i="41"/>
  <c r="AD12"/>
  <c r="J9" i="40"/>
  <c r="V9"/>
  <c r="J12"/>
  <c r="V12"/>
  <c r="J10"/>
  <c r="V10"/>
  <c r="J17" i="39"/>
  <c r="R17"/>
  <c r="H12" i="35"/>
  <c r="J17" i="42"/>
  <c r="J18" i="41"/>
  <c r="AC18"/>
  <c r="I17" i="34"/>
  <c r="J11" i="40"/>
  <c r="V11"/>
  <c r="J14"/>
  <c r="V14"/>
  <c r="J16" i="42"/>
  <c r="X16"/>
  <c r="L18"/>
  <c r="L10"/>
  <c r="Y15" i="20"/>
  <c r="Y13"/>
  <c r="Y19"/>
  <c r="W20"/>
  <c r="N17" i="41"/>
  <c r="W10" i="20"/>
  <c r="W9"/>
  <c r="C9" i="34"/>
  <c r="C14"/>
  <c r="D15" i="35"/>
  <c r="D13"/>
  <c r="D11"/>
  <c r="D9" i="34"/>
  <c r="E15" i="35"/>
  <c r="E9"/>
  <c r="E21" i="34"/>
  <c r="E19"/>
  <c r="D14"/>
  <c r="C18" i="35"/>
  <c r="S18"/>
  <c r="C10"/>
  <c r="F11" i="34"/>
  <c r="E13"/>
  <c r="E17"/>
  <c r="L16" i="39"/>
  <c r="D14"/>
  <c r="D12"/>
  <c r="E14"/>
  <c r="F21" i="35"/>
  <c r="D21" i="39"/>
  <c r="X44"/>
  <c r="C15"/>
  <c r="C20"/>
  <c r="C19"/>
  <c r="G18"/>
  <c r="C18" i="40"/>
  <c r="C14"/>
  <c r="C15"/>
  <c r="D16"/>
  <c r="D12"/>
  <c r="D20"/>
  <c r="D10" i="41"/>
  <c r="G16" i="40"/>
  <c r="G9"/>
  <c r="G19"/>
  <c r="G10"/>
  <c r="F10" i="41"/>
  <c r="D19"/>
  <c r="F17"/>
  <c r="F14"/>
  <c r="F13"/>
  <c r="E21"/>
  <c r="E9"/>
  <c r="E18"/>
  <c r="AA16"/>
  <c r="AA12"/>
  <c r="AA17"/>
  <c r="G11" i="42"/>
  <c r="V20"/>
  <c r="AN20"/>
  <c r="U12" i="41"/>
  <c r="G9" i="42"/>
  <c r="E17"/>
  <c r="E21"/>
  <c r="E19"/>
  <c r="D9"/>
  <c r="D17" i="40"/>
  <c r="W17" i="20"/>
  <c r="M17" i="34"/>
  <c r="Y10" i="20"/>
  <c r="Y16"/>
  <c r="Y20"/>
  <c r="N15" i="43"/>
  <c r="V13" i="42"/>
  <c r="V10"/>
  <c r="AO10"/>
  <c r="AD21" i="41"/>
  <c r="V15" i="42"/>
  <c r="V19" i="41"/>
  <c r="X19"/>
  <c r="AB9"/>
  <c r="Y11" i="20"/>
  <c r="X19"/>
  <c r="X9"/>
  <c r="AC14" i="43"/>
  <c r="N18" i="42"/>
  <c r="N19" i="41"/>
  <c r="N21" i="39"/>
  <c r="N14" i="42"/>
  <c r="N15" i="41"/>
  <c r="N10" i="43"/>
  <c r="N9" i="41"/>
  <c r="N13" i="42"/>
  <c r="M13" i="35"/>
  <c r="N15" i="40"/>
  <c r="N12" i="42"/>
  <c r="N19" i="39"/>
  <c r="N13" i="41"/>
  <c r="U18" i="43"/>
  <c r="Z10" i="34"/>
  <c r="X9"/>
  <c r="Z9"/>
  <c r="Z13"/>
  <c r="V15"/>
  <c r="X15"/>
  <c r="Z15"/>
  <c r="X17"/>
  <c r="Z17"/>
  <c r="M9"/>
  <c r="M9" i="35"/>
  <c r="N12" i="41"/>
  <c r="L15"/>
  <c r="L19"/>
  <c r="M10"/>
  <c r="L16"/>
  <c r="M9" i="39"/>
  <c r="L14"/>
  <c r="K14" i="34"/>
  <c r="K18"/>
  <c r="K15"/>
  <c r="L15" i="40"/>
  <c r="L14"/>
  <c r="L18"/>
  <c r="L20" i="39"/>
  <c r="L15"/>
  <c r="K14" i="35"/>
  <c r="K18"/>
  <c r="K15"/>
  <c r="L19" i="42"/>
  <c r="L9"/>
  <c r="L21" i="41"/>
  <c r="L9"/>
  <c r="L11"/>
  <c r="L20"/>
  <c r="L18" i="39"/>
  <c r="L11"/>
  <c r="L10"/>
  <c r="K21" i="34"/>
  <c r="M16" i="42"/>
  <c r="L13" i="40"/>
  <c r="L9"/>
  <c r="L17" i="39"/>
  <c r="K11" i="35"/>
  <c r="K13"/>
  <c r="K19"/>
  <c r="L15" i="42"/>
  <c r="V12"/>
  <c r="L11" i="40"/>
  <c r="L18" i="41"/>
  <c r="I18" i="42"/>
  <c r="I13" i="41"/>
  <c r="I15"/>
  <c r="I19"/>
  <c r="I17"/>
  <c r="I13" i="39"/>
  <c r="H12" i="34"/>
  <c r="I12" i="42"/>
  <c r="I15" i="40"/>
  <c r="I17"/>
  <c r="I21"/>
  <c r="I18"/>
  <c r="I21" i="39"/>
  <c r="I15"/>
  <c r="N10" i="42"/>
  <c r="L12"/>
  <c r="L13"/>
  <c r="W11" i="20"/>
  <c r="N20" i="40"/>
  <c r="Y17" i="20"/>
  <c r="W19"/>
  <c r="C17" i="34"/>
  <c r="F21"/>
  <c r="D21"/>
  <c r="D19"/>
  <c r="D17"/>
  <c r="C13" i="35"/>
  <c r="F15" i="34"/>
  <c r="E15"/>
  <c r="F9"/>
  <c r="E9"/>
  <c r="E21" i="35"/>
  <c r="F19"/>
  <c r="E19"/>
  <c r="D12"/>
  <c r="F11"/>
  <c r="E11"/>
  <c r="E13"/>
  <c r="F17"/>
  <c r="E17"/>
  <c r="D10" i="39"/>
  <c r="D16"/>
  <c r="X29"/>
  <c r="F11"/>
  <c r="F14"/>
  <c r="F12"/>
  <c r="G14"/>
  <c r="G9"/>
  <c r="G10"/>
  <c r="E10"/>
  <c r="E11"/>
  <c r="E16"/>
  <c r="E12"/>
  <c r="F13" i="35"/>
  <c r="G16" i="39"/>
  <c r="F11" i="40"/>
  <c r="F12"/>
  <c r="D19"/>
  <c r="D10"/>
  <c r="D11"/>
  <c r="C18" i="41"/>
  <c r="C9"/>
  <c r="E16"/>
  <c r="G10"/>
  <c r="E10"/>
  <c r="G11"/>
  <c r="G20" i="40"/>
  <c r="E20"/>
  <c r="G12"/>
  <c r="E12"/>
  <c r="C19" i="42"/>
  <c r="C11"/>
  <c r="AD11" i="41"/>
  <c r="V15"/>
  <c r="X15"/>
  <c r="AB13"/>
  <c r="AD13"/>
  <c r="AB19"/>
  <c r="AD19"/>
  <c r="AA20"/>
  <c r="AA19"/>
  <c r="AA11"/>
  <c r="AC11"/>
  <c r="V19" i="34"/>
  <c r="X19"/>
  <c r="Z19"/>
  <c r="Z18"/>
  <c r="U20" i="41"/>
  <c r="W20"/>
  <c r="U19"/>
  <c r="U16"/>
  <c r="D19" i="42"/>
  <c r="F9" i="43"/>
  <c r="AF17" i="42"/>
  <c r="AF13"/>
  <c r="R17" i="40"/>
  <c r="M12" i="34"/>
  <c r="M19"/>
  <c r="M13"/>
  <c r="M14" i="35"/>
  <c r="N10" i="39"/>
  <c r="N18"/>
  <c r="N12"/>
  <c r="M12" i="35"/>
  <c r="N12" i="40"/>
  <c r="N20" i="41"/>
  <c r="H21" i="39"/>
  <c r="H14" i="40"/>
  <c r="H16" i="41"/>
  <c r="H17"/>
  <c r="C17" i="42"/>
  <c r="C13"/>
  <c r="V21" i="34"/>
  <c r="X21"/>
  <c r="Z21"/>
  <c r="V20"/>
  <c r="X20"/>
  <c r="Z20"/>
  <c r="U17" i="41"/>
  <c r="U11"/>
  <c r="F16" i="43"/>
  <c r="F13"/>
  <c r="F14"/>
  <c r="AA9" i="20"/>
  <c r="P9" i="40"/>
  <c r="AA10" i="20"/>
  <c r="O10" i="34"/>
  <c r="AA11" i="20"/>
  <c r="P20" i="40"/>
  <c r="AA12" i="20"/>
  <c r="AA13"/>
  <c r="O15" i="49"/>
  <c r="AA14" i="20"/>
  <c r="AA15"/>
  <c r="AA16"/>
  <c r="AA17"/>
  <c r="O17" i="49"/>
  <c r="AA18" i="20"/>
  <c r="P21" i="40"/>
  <c r="AA19" i="20"/>
  <c r="AA20"/>
  <c r="AA21"/>
  <c r="O21" i="49"/>
  <c r="AD20" i="41"/>
  <c r="T17" i="35"/>
  <c r="AD14" i="41"/>
  <c r="U16" i="40"/>
  <c r="AF10" i="42"/>
  <c r="AL15"/>
  <c r="W15" i="43"/>
  <c r="U19"/>
  <c r="W19"/>
  <c r="U11"/>
  <c r="W11"/>
  <c r="U9"/>
  <c r="W9"/>
  <c r="P14" i="35"/>
  <c r="T14"/>
  <c r="AC13" i="43"/>
  <c r="H14" i="42"/>
  <c r="H15" i="41"/>
  <c r="H13" i="39"/>
  <c r="G14" i="35"/>
  <c r="H20" i="41"/>
  <c r="H10" i="39"/>
  <c r="G21" i="34"/>
  <c r="D19" i="43"/>
  <c r="D16" i="42"/>
  <c r="D20" i="39"/>
  <c r="X41"/>
  <c r="H18" i="43"/>
  <c r="H13" i="41"/>
  <c r="G12" i="35"/>
  <c r="H11" i="41"/>
  <c r="H11" i="39"/>
  <c r="G19" i="35"/>
  <c r="H17" i="42"/>
  <c r="H18" i="41"/>
  <c r="G17" i="34"/>
  <c r="H9" i="41"/>
  <c r="G13" i="35"/>
  <c r="G13" i="34"/>
  <c r="H21" i="41"/>
  <c r="H12" i="39"/>
  <c r="G11" i="34"/>
  <c r="H9" i="42"/>
  <c r="H10" i="41"/>
  <c r="H9" i="39"/>
  <c r="C11" i="43"/>
  <c r="C10" i="42"/>
  <c r="C12" i="41"/>
  <c r="F13" i="40"/>
  <c r="F17" i="39"/>
  <c r="C18" i="43"/>
  <c r="C12" i="42"/>
  <c r="C13" i="41"/>
  <c r="F15" i="40"/>
  <c r="F19" i="39"/>
  <c r="C12" i="35"/>
  <c r="C12" i="34"/>
  <c r="C20" i="43"/>
  <c r="C14" i="42"/>
  <c r="C15" i="41"/>
  <c r="F17" i="40"/>
  <c r="F13" i="39"/>
  <c r="C19" i="43"/>
  <c r="C16" i="42"/>
  <c r="C14" i="41"/>
  <c r="F14" i="40"/>
  <c r="F20" i="39"/>
  <c r="C16" i="35"/>
  <c r="C16" i="34"/>
  <c r="C17" i="43"/>
  <c r="C18" i="42"/>
  <c r="C19" i="41"/>
  <c r="F21" i="40"/>
  <c r="F21" i="39"/>
  <c r="C21" i="43"/>
  <c r="C20" i="42"/>
  <c r="C17" i="41"/>
  <c r="F18" i="40"/>
  <c r="F15" i="39"/>
  <c r="C20" i="35"/>
  <c r="S20"/>
  <c r="C20" i="34"/>
  <c r="D12" i="42"/>
  <c r="D15" i="40"/>
  <c r="D19" i="39"/>
  <c r="X38"/>
  <c r="D12" i="34"/>
  <c r="D18" i="42"/>
  <c r="D21" i="40"/>
  <c r="D18" i="34"/>
  <c r="D20" i="42"/>
  <c r="D18" i="40"/>
  <c r="D15" i="39"/>
  <c r="D20" i="34"/>
  <c r="C15" i="43"/>
  <c r="C9" i="42"/>
  <c r="C10" i="41"/>
  <c r="F9" i="40"/>
  <c r="F9" i="39"/>
  <c r="C9" i="35"/>
  <c r="P9" i="42"/>
  <c r="P10"/>
  <c r="P12"/>
  <c r="O18" i="34"/>
  <c r="K12" i="43"/>
  <c r="V21" i="20"/>
  <c r="M19" i="40"/>
  <c r="K19"/>
  <c r="J21" i="34"/>
  <c r="X21" i="20"/>
  <c r="K21" i="43"/>
  <c r="Z20" i="20"/>
  <c r="N20" i="49"/>
  <c r="V20" i="20"/>
  <c r="L20" i="56"/>
  <c r="Z18" i="20"/>
  <c r="N18" i="56"/>
  <c r="V18" i="20"/>
  <c r="L18" i="49"/>
  <c r="Z17" i="20"/>
  <c r="N17" i="56"/>
  <c r="X17" i="20"/>
  <c r="Z16"/>
  <c r="N11" i="49"/>
  <c r="X16" i="20"/>
  <c r="Z15"/>
  <c r="N16" i="49"/>
  <c r="X15" i="20"/>
  <c r="V15"/>
  <c r="L15" i="56"/>
  <c r="Z14" i="20"/>
  <c r="N14" i="56"/>
  <c r="X14" i="20"/>
  <c r="Z13"/>
  <c r="N13" i="56"/>
  <c r="X13" i="20"/>
  <c r="Z12"/>
  <c r="N14" i="49"/>
  <c r="V12" i="20"/>
  <c r="L14" i="49"/>
  <c r="Z10" i="20"/>
  <c r="J10" i="35"/>
  <c r="X10" i="20"/>
  <c r="E17" i="41"/>
  <c r="E15" i="39"/>
  <c r="E20" i="34"/>
  <c r="E18" i="42"/>
  <c r="E19" i="41"/>
  <c r="E18" i="35"/>
  <c r="E14" i="41"/>
  <c r="E20" i="39"/>
  <c r="E16" i="35"/>
  <c r="E14" i="42"/>
  <c r="E15" i="41"/>
  <c r="E14" i="34"/>
  <c r="E15" i="40"/>
  <c r="E12" i="35"/>
  <c r="E10" i="42"/>
  <c r="E12" i="41"/>
  <c r="E10" i="34"/>
  <c r="G17" i="41"/>
  <c r="F20" i="34"/>
  <c r="G18" i="42"/>
  <c r="G19" i="41"/>
  <c r="G21" i="39"/>
  <c r="F18" i="35"/>
  <c r="G14" i="41"/>
  <c r="F16" i="35"/>
  <c r="G14" i="42"/>
  <c r="G15" i="41"/>
  <c r="F14" i="35"/>
  <c r="U16" i="43"/>
  <c r="W16"/>
  <c r="U10"/>
  <c r="W10"/>
  <c r="AA11"/>
  <c r="AC11"/>
  <c r="AA18"/>
  <c r="AC18"/>
  <c r="AE13"/>
  <c r="V21"/>
  <c r="V17"/>
  <c r="X17"/>
  <c r="AE17"/>
  <c r="AA9"/>
  <c r="AC9"/>
  <c r="AA12"/>
  <c r="AC12"/>
  <c r="AE14"/>
  <c r="M10" i="34"/>
  <c r="M20"/>
  <c r="M15" i="35"/>
  <c r="N20" i="39"/>
  <c r="M13"/>
  <c r="M15" i="41"/>
  <c r="N16"/>
  <c r="AD16"/>
  <c r="R20" i="39"/>
  <c r="U20" i="40"/>
  <c r="R21" i="39"/>
  <c r="R11"/>
  <c r="R16"/>
  <c r="D16" i="34"/>
  <c r="D17" i="39"/>
  <c r="X32"/>
  <c r="H19" i="40"/>
  <c r="H12" i="43"/>
  <c r="H20"/>
  <c r="X21"/>
  <c r="AE21"/>
  <c r="W18"/>
  <c r="D13" i="40"/>
  <c r="D14"/>
  <c r="W17" i="43"/>
  <c r="W21"/>
  <c r="V18" i="41"/>
  <c r="X18"/>
  <c r="V11"/>
  <c r="V10"/>
  <c r="X10"/>
  <c r="V21"/>
  <c r="X21"/>
  <c r="AA21"/>
  <c r="AC21"/>
  <c r="AA15"/>
  <c r="AC15"/>
  <c r="AA13"/>
  <c r="AC13"/>
  <c r="R21" i="40"/>
  <c r="AA9" i="41"/>
  <c r="V11" i="42"/>
  <c r="V9" i="41"/>
  <c r="V12"/>
  <c r="V14"/>
  <c r="V16"/>
  <c r="X16"/>
  <c r="V9" i="42"/>
  <c r="X9"/>
  <c r="V20" i="41"/>
  <c r="X20"/>
  <c r="V17"/>
  <c r="X17"/>
  <c r="U9"/>
  <c r="U15"/>
  <c r="W15"/>
  <c r="U10"/>
  <c r="U21"/>
  <c r="W21"/>
  <c r="U18"/>
  <c r="U14"/>
  <c r="W14"/>
  <c r="U13"/>
  <c r="W17" i="35"/>
  <c r="AE17" i="49"/>
  <c r="W21" i="35"/>
  <c r="AE21" i="49"/>
  <c r="C21" i="34"/>
  <c r="C21" i="35"/>
  <c r="F10" i="39"/>
  <c r="F19" i="40"/>
  <c r="C20" i="41"/>
  <c r="C21" i="42"/>
  <c r="F12" i="43"/>
  <c r="R20" i="40"/>
  <c r="U21"/>
  <c r="M14" i="34"/>
  <c r="M15"/>
  <c r="M18"/>
  <c r="M21"/>
  <c r="O12"/>
  <c r="M16"/>
  <c r="L14"/>
  <c r="Q13" i="35"/>
  <c r="Q17"/>
  <c r="Q18"/>
  <c r="N13" i="39"/>
  <c r="M20"/>
  <c r="N14"/>
  <c r="M18" i="35"/>
  <c r="M21"/>
  <c r="O12"/>
  <c r="M16"/>
  <c r="M19"/>
  <c r="L14"/>
  <c r="M10"/>
  <c r="N17" i="40"/>
  <c r="N13"/>
  <c r="M17"/>
  <c r="N21"/>
  <c r="N19"/>
  <c r="N18"/>
  <c r="N14"/>
  <c r="N10"/>
  <c r="N16"/>
  <c r="M11" i="41"/>
  <c r="N21" i="42"/>
  <c r="M14"/>
  <c r="N15"/>
  <c r="W19" i="41"/>
  <c r="N19" i="42"/>
  <c r="X12" i="43"/>
  <c r="AE12"/>
  <c r="C19" i="34"/>
  <c r="C15"/>
  <c r="C11"/>
  <c r="C19" i="35"/>
  <c r="C15"/>
  <c r="C11"/>
  <c r="G16" i="34"/>
  <c r="G18"/>
  <c r="G15" i="35"/>
  <c r="G10"/>
  <c r="G20"/>
  <c r="C10" i="39"/>
  <c r="C11"/>
  <c r="C16"/>
  <c r="C14"/>
  <c r="C18"/>
  <c r="C12"/>
  <c r="H20"/>
  <c r="H15"/>
  <c r="H14"/>
  <c r="C19" i="40"/>
  <c r="C10"/>
  <c r="C11"/>
  <c r="C16"/>
  <c r="C12"/>
  <c r="C20"/>
  <c r="F20" i="41"/>
  <c r="F11"/>
  <c r="F18"/>
  <c r="F16"/>
  <c r="F9"/>
  <c r="F21"/>
  <c r="H14"/>
  <c r="H16" i="40"/>
  <c r="H13"/>
  <c r="H18"/>
  <c r="AQ17" i="42"/>
  <c r="AQ11"/>
  <c r="H16"/>
  <c r="V16" i="43"/>
  <c r="X16"/>
  <c r="AE16"/>
  <c r="AA15"/>
  <c r="AC15"/>
  <c r="AL21" i="42"/>
  <c r="M13" i="49"/>
  <c r="M11" i="56"/>
  <c r="N14" i="51"/>
  <c r="N21" i="50"/>
  <c r="M15" i="49"/>
  <c r="M13" i="56"/>
  <c r="N10" i="51"/>
  <c r="N14" i="50"/>
  <c r="L10" i="49"/>
  <c r="L14" i="56"/>
  <c r="M18" i="51"/>
  <c r="M9" i="50"/>
  <c r="L11" i="49"/>
  <c r="L16" i="56"/>
  <c r="M21" i="51"/>
  <c r="M19" i="50"/>
  <c r="M13" i="43"/>
  <c r="M13" i="51"/>
  <c r="M20" i="50"/>
  <c r="N18" i="43"/>
  <c r="M12" i="56"/>
  <c r="N17" i="51"/>
  <c r="N18" i="50"/>
  <c r="M12" i="49"/>
  <c r="N15" i="50"/>
  <c r="L12" i="49"/>
  <c r="L9" i="56"/>
  <c r="M15" i="51"/>
  <c r="M15" i="50"/>
  <c r="O21" i="56"/>
  <c r="O20" i="49"/>
  <c r="P12" i="50"/>
  <c r="O19" i="49"/>
  <c r="O18"/>
  <c r="P16" i="50"/>
  <c r="P9" i="51"/>
  <c r="O11" i="49"/>
  <c r="P19" i="50"/>
  <c r="P20"/>
  <c r="O10" i="49"/>
  <c r="P9" i="50"/>
  <c r="O13" i="56"/>
  <c r="G14" i="49"/>
  <c r="G12" i="56"/>
  <c r="H17" i="51"/>
  <c r="H18" i="50"/>
  <c r="G19" i="49"/>
  <c r="G19" i="56"/>
  <c r="H16" i="51"/>
  <c r="H10" i="50"/>
  <c r="G10" i="49"/>
  <c r="G14" i="56"/>
  <c r="H18" i="51"/>
  <c r="H9" i="50"/>
  <c r="G21" i="49"/>
  <c r="G21" i="56"/>
  <c r="H12" i="51"/>
  <c r="H17" i="50"/>
  <c r="G9" i="49"/>
  <c r="G10" i="56"/>
  <c r="H11" i="51"/>
  <c r="H11" i="50"/>
  <c r="G17" i="49"/>
  <c r="G17" i="56"/>
  <c r="H9" i="51"/>
  <c r="H13" i="50"/>
  <c r="G15" i="49"/>
  <c r="G13" i="56"/>
  <c r="H10" i="51"/>
  <c r="H14" i="50"/>
  <c r="G13" i="49"/>
  <c r="G11" i="56"/>
  <c r="H14" i="51"/>
  <c r="H21" i="50"/>
  <c r="G12" i="49"/>
  <c r="G9" i="56"/>
  <c r="H15" i="51"/>
  <c r="H15" i="50"/>
  <c r="C9" i="49"/>
  <c r="C10" i="56"/>
  <c r="F11" i="51"/>
  <c r="C11"/>
  <c r="F11" i="50"/>
  <c r="C11"/>
  <c r="C14" i="49"/>
  <c r="C12" i="56"/>
  <c r="C17" i="51"/>
  <c r="F17"/>
  <c r="F18" i="50"/>
  <c r="C18"/>
  <c r="C10" i="49"/>
  <c r="C14" i="56"/>
  <c r="F18" i="51"/>
  <c r="C18"/>
  <c r="F9" i="50"/>
  <c r="C9"/>
  <c r="C11" i="49"/>
  <c r="C21" i="51"/>
  <c r="C16" i="56"/>
  <c r="F21" i="51"/>
  <c r="F19" i="50"/>
  <c r="C19"/>
  <c r="C18" i="49"/>
  <c r="C18" i="56"/>
  <c r="F20" i="51"/>
  <c r="F16" i="50"/>
  <c r="C20" i="51"/>
  <c r="C16" i="50"/>
  <c r="C20" i="49"/>
  <c r="C20" i="56"/>
  <c r="F19" i="51"/>
  <c r="F12" i="50"/>
  <c r="C19" i="51"/>
  <c r="C12" i="50"/>
  <c r="D14" i="49"/>
  <c r="D12" i="56"/>
  <c r="D17" i="51"/>
  <c r="D18" i="50"/>
  <c r="D18" i="49"/>
  <c r="D18" i="56"/>
  <c r="D20" i="51"/>
  <c r="D16" i="50"/>
  <c r="D20" i="49"/>
  <c r="D20" i="56"/>
  <c r="D19" i="51"/>
  <c r="D12" i="50"/>
  <c r="C12" i="49"/>
  <c r="C9" i="56"/>
  <c r="F15" i="51"/>
  <c r="C15"/>
  <c r="F15" i="50"/>
  <c r="C15"/>
  <c r="I12" i="49"/>
  <c r="U12"/>
  <c r="I9" i="56"/>
  <c r="J15" i="51"/>
  <c r="J15" i="50"/>
  <c r="I9" i="49"/>
  <c r="I10" i="56"/>
  <c r="J11" i="51"/>
  <c r="J11" i="50"/>
  <c r="N10" i="56"/>
  <c r="N16"/>
  <c r="N18" i="49"/>
  <c r="O16" i="50"/>
  <c r="N20" i="56"/>
  <c r="O19" i="51"/>
  <c r="N12" i="49"/>
  <c r="N9" i="56"/>
  <c r="O15" i="51"/>
  <c r="O15" i="50"/>
  <c r="N13" i="49"/>
  <c r="N11" i="56"/>
  <c r="O14" i="51"/>
  <c r="O21" i="50"/>
  <c r="N15" i="56"/>
  <c r="N17" i="49"/>
  <c r="O13" i="50"/>
  <c r="N21" i="49"/>
  <c r="N21" i="56"/>
  <c r="O12" i="51"/>
  <c r="O17" i="50"/>
  <c r="J21" i="49"/>
  <c r="J21" i="56"/>
  <c r="K12" i="51"/>
  <c r="K17" i="50"/>
  <c r="J19" i="49"/>
  <c r="J19" i="56"/>
  <c r="K16" i="51"/>
  <c r="K10" i="50"/>
  <c r="J18" i="49"/>
  <c r="J18" i="56"/>
  <c r="K20" i="51"/>
  <c r="K16" i="50"/>
  <c r="J17" i="49"/>
  <c r="J17" i="56"/>
  <c r="K9" i="51"/>
  <c r="K13" i="50"/>
  <c r="J11" i="49"/>
  <c r="J16" i="56"/>
  <c r="K21" i="51"/>
  <c r="K19" i="50"/>
  <c r="J16" i="49"/>
  <c r="J15" i="56"/>
  <c r="K13" i="51"/>
  <c r="K20" i="50"/>
  <c r="J10" i="49"/>
  <c r="J14" i="56"/>
  <c r="K18" i="51"/>
  <c r="K9" i="50"/>
  <c r="J15" i="49"/>
  <c r="J13" i="56"/>
  <c r="K10" i="51"/>
  <c r="K14" i="50"/>
  <c r="J14" i="49"/>
  <c r="J12" i="56"/>
  <c r="K17" i="51"/>
  <c r="K18" i="50"/>
  <c r="J13" i="49"/>
  <c r="J11" i="56"/>
  <c r="K14" i="51"/>
  <c r="K21" i="50"/>
  <c r="J9" i="49"/>
  <c r="J10" i="56"/>
  <c r="K11" i="51"/>
  <c r="K11" i="50"/>
  <c r="J12" i="49"/>
  <c r="J9" i="56"/>
  <c r="K15" i="51"/>
  <c r="K15" i="50"/>
  <c r="H21" i="49"/>
  <c r="H21" i="56"/>
  <c r="I12" i="51"/>
  <c r="I17" i="50"/>
  <c r="H19" i="49"/>
  <c r="H19" i="56"/>
  <c r="I16" i="51"/>
  <c r="I10" i="50"/>
  <c r="H17" i="49"/>
  <c r="H17" i="56"/>
  <c r="I9" i="51"/>
  <c r="I13" i="50"/>
  <c r="H16" i="49"/>
  <c r="H15" i="56"/>
  <c r="I13" i="51"/>
  <c r="I20" i="50"/>
  <c r="H15" i="49"/>
  <c r="H13" i="56"/>
  <c r="I10" i="51"/>
  <c r="I14" i="50"/>
  <c r="H13" i="49"/>
  <c r="H11" i="56"/>
  <c r="I14" i="51"/>
  <c r="I21" i="50"/>
  <c r="H12" i="49"/>
  <c r="H9" i="56"/>
  <c r="I15" i="51"/>
  <c r="I15" i="50"/>
  <c r="E20" i="49"/>
  <c r="E20" i="56"/>
  <c r="E19" i="51"/>
  <c r="E12" i="50"/>
  <c r="E18" i="49"/>
  <c r="E18" i="56"/>
  <c r="E20" i="51"/>
  <c r="E16" i="50"/>
  <c r="E11" i="49"/>
  <c r="E16" i="56"/>
  <c r="E21" i="51"/>
  <c r="E19" i="50"/>
  <c r="E10" i="49"/>
  <c r="E14" i="56"/>
  <c r="E18" i="51"/>
  <c r="E9" i="50"/>
  <c r="E14" i="49"/>
  <c r="E17" i="51"/>
  <c r="E12" i="56"/>
  <c r="E18" i="50"/>
  <c r="E9" i="49"/>
  <c r="E10" i="56"/>
  <c r="E11" i="51"/>
  <c r="E11" i="50"/>
  <c r="E12" i="49"/>
  <c r="E9" i="56"/>
  <c r="E15" i="51"/>
  <c r="E15" i="50"/>
  <c r="G12" i="43"/>
  <c r="F21" i="56"/>
  <c r="G12" i="51"/>
  <c r="G17" i="50"/>
  <c r="F19" i="49"/>
  <c r="F19" i="56"/>
  <c r="G16" i="51"/>
  <c r="G10" i="50"/>
  <c r="G9" i="43"/>
  <c r="F17" i="56"/>
  <c r="G9" i="51"/>
  <c r="G13" i="50"/>
  <c r="F16" i="49"/>
  <c r="F15" i="56"/>
  <c r="G13" i="51"/>
  <c r="G20" i="50"/>
  <c r="F15" i="49"/>
  <c r="F13" i="56"/>
  <c r="G10" i="51"/>
  <c r="G14" i="50"/>
  <c r="F14" i="49"/>
  <c r="F12" i="56"/>
  <c r="G17" i="51"/>
  <c r="G18" i="50"/>
  <c r="F13" i="49"/>
  <c r="F11" i="56"/>
  <c r="G14" i="51"/>
  <c r="G21" i="50"/>
  <c r="F9" i="49"/>
  <c r="F10" i="56"/>
  <c r="G11" i="51"/>
  <c r="G11" i="50"/>
  <c r="F12" i="49"/>
  <c r="F9" i="56"/>
  <c r="G15" i="51"/>
  <c r="G15" i="50"/>
  <c r="D12" i="49"/>
  <c r="D9" i="56"/>
  <c r="D15" i="51"/>
  <c r="D15" i="50"/>
  <c r="D14" i="56"/>
  <c r="D18" i="51"/>
  <c r="D9" i="50"/>
  <c r="M16" i="49"/>
  <c r="M15" i="56"/>
  <c r="N13" i="51"/>
  <c r="N20" i="50"/>
  <c r="L12" i="56"/>
  <c r="M19" i="49"/>
  <c r="M19" i="56"/>
  <c r="N16" i="51"/>
  <c r="N10" i="50"/>
  <c r="N19" i="43"/>
  <c r="M16" i="56"/>
  <c r="N21" i="51"/>
  <c r="N19" i="50"/>
  <c r="M20" i="49"/>
  <c r="M20" i="56"/>
  <c r="N19" i="51"/>
  <c r="N12" i="50"/>
  <c r="M21" i="49"/>
  <c r="M21" i="56"/>
  <c r="N12" i="51"/>
  <c r="N17" i="50"/>
  <c r="M9" i="49"/>
  <c r="M10" i="56"/>
  <c r="N11" i="51"/>
  <c r="N11" i="50"/>
  <c r="M10" i="49"/>
  <c r="M14" i="56"/>
  <c r="N18" i="51"/>
  <c r="N9" i="50"/>
  <c r="N17" i="43"/>
  <c r="M18" i="56"/>
  <c r="N20" i="51"/>
  <c r="N16" i="50"/>
  <c r="R18" i="35"/>
  <c r="O14" i="49"/>
  <c r="P18" i="50"/>
  <c r="O11" i="56"/>
  <c r="O9" i="49"/>
  <c r="P11" i="50"/>
  <c r="O12" i="49"/>
  <c r="G20"/>
  <c r="G20" i="56"/>
  <c r="H19" i="51"/>
  <c r="H12" i="50"/>
  <c r="G18" i="49"/>
  <c r="G18" i="56"/>
  <c r="H20" i="51"/>
  <c r="H16" i="50"/>
  <c r="L19" i="49"/>
  <c r="L19" i="56"/>
  <c r="M16" i="51"/>
  <c r="M10" i="50"/>
  <c r="G11" i="49"/>
  <c r="G16" i="56"/>
  <c r="H21" i="51"/>
  <c r="H19" i="50"/>
  <c r="L21" i="56"/>
  <c r="G16" i="49"/>
  <c r="G15" i="56"/>
  <c r="H13" i="51"/>
  <c r="H20" i="50"/>
  <c r="C13" i="49"/>
  <c r="C14" i="51"/>
  <c r="C11" i="56"/>
  <c r="F14" i="51"/>
  <c r="F21" i="50"/>
  <c r="C21"/>
  <c r="C15" i="49"/>
  <c r="C13" i="56"/>
  <c r="F10" i="51"/>
  <c r="F14" i="50"/>
  <c r="C10" i="51"/>
  <c r="C14" i="50"/>
  <c r="C16" i="49"/>
  <c r="C13" i="51"/>
  <c r="C15" i="56"/>
  <c r="F13" i="51"/>
  <c r="F20" i="50"/>
  <c r="C20"/>
  <c r="C17" i="49"/>
  <c r="C17" i="56"/>
  <c r="F9" i="51"/>
  <c r="C9"/>
  <c r="F13" i="50"/>
  <c r="C13"/>
  <c r="C19" i="49"/>
  <c r="C19" i="56"/>
  <c r="F16" i="51"/>
  <c r="F10" i="50"/>
  <c r="C16" i="51"/>
  <c r="C10" i="50"/>
  <c r="C21" i="49"/>
  <c r="C21" i="56"/>
  <c r="C12" i="51"/>
  <c r="F12"/>
  <c r="F17" i="50"/>
  <c r="C17"/>
  <c r="D13" i="49"/>
  <c r="D11" i="56"/>
  <c r="D14" i="51"/>
  <c r="D21" i="50"/>
  <c r="D15" i="49"/>
  <c r="D13" i="56"/>
  <c r="D10" i="51"/>
  <c r="D14" i="50"/>
  <c r="D16" i="49"/>
  <c r="D15" i="56"/>
  <c r="D13" i="51"/>
  <c r="D20" i="50"/>
  <c r="D17" i="49"/>
  <c r="D17" i="56"/>
  <c r="D9" i="51"/>
  <c r="D13" i="50"/>
  <c r="D19" i="49"/>
  <c r="D19" i="56"/>
  <c r="D16" i="51"/>
  <c r="D10" i="50"/>
  <c r="D21" i="49"/>
  <c r="D21" i="56"/>
  <c r="D12" i="51"/>
  <c r="D17" i="50"/>
  <c r="M17" i="49"/>
  <c r="M17" i="56"/>
  <c r="N9" i="51"/>
  <c r="N13" i="50"/>
  <c r="I13" i="49"/>
  <c r="I11" i="56"/>
  <c r="J14" i="51"/>
  <c r="J21" i="50"/>
  <c r="I14" i="49"/>
  <c r="I12" i="56"/>
  <c r="J17" i="51"/>
  <c r="J18" i="50"/>
  <c r="I15" i="49"/>
  <c r="I13" i="56"/>
  <c r="J10" i="51"/>
  <c r="J14" i="50"/>
  <c r="I10" i="49"/>
  <c r="U10"/>
  <c r="I14" i="56"/>
  <c r="J18" i="51"/>
  <c r="J9" i="50"/>
  <c r="I16" i="49"/>
  <c r="T16"/>
  <c r="I15" i="56"/>
  <c r="J13" i="51"/>
  <c r="J20" i="50"/>
  <c r="I11" i="49"/>
  <c r="U11"/>
  <c r="I16" i="56"/>
  <c r="J21" i="51"/>
  <c r="J19" i="50"/>
  <c r="I17" i="49"/>
  <c r="T17"/>
  <c r="I17" i="56"/>
  <c r="J9" i="51"/>
  <c r="J13" i="50"/>
  <c r="J18" i="42"/>
  <c r="X18"/>
  <c r="AG18"/>
  <c r="I18" i="56"/>
  <c r="J20" i="51"/>
  <c r="J16" i="50"/>
  <c r="J19" i="42"/>
  <c r="X19"/>
  <c r="AG19"/>
  <c r="I19" i="56"/>
  <c r="J16" i="51"/>
  <c r="J10" i="50"/>
  <c r="J20" i="42"/>
  <c r="I20" i="56"/>
  <c r="J19" i="51"/>
  <c r="J12" i="50"/>
  <c r="J21" i="42"/>
  <c r="X21"/>
  <c r="AG21"/>
  <c r="I21" i="56"/>
  <c r="J12" i="51"/>
  <c r="J17" i="50"/>
  <c r="K21" i="49"/>
  <c r="K21" i="56"/>
  <c r="L12" i="51"/>
  <c r="L17" i="50"/>
  <c r="K20" i="49"/>
  <c r="K20" i="56"/>
  <c r="L19" i="51"/>
  <c r="L12" i="50"/>
  <c r="J20" i="49"/>
  <c r="J20" i="56"/>
  <c r="K19" i="51"/>
  <c r="K12" i="50"/>
  <c r="K19" i="49"/>
  <c r="K19" i="56"/>
  <c r="L16" i="51"/>
  <c r="L10" i="50"/>
  <c r="K18" i="49"/>
  <c r="K18" i="56"/>
  <c r="L20" i="51"/>
  <c r="L16" i="50"/>
  <c r="K17" i="49"/>
  <c r="K17" i="56"/>
  <c r="L9" i="51"/>
  <c r="L13" i="50"/>
  <c r="K11" i="49"/>
  <c r="K16" i="56"/>
  <c r="L21" i="51"/>
  <c r="L19" i="50"/>
  <c r="K16" i="49"/>
  <c r="K15" i="56"/>
  <c r="L13" i="51"/>
  <c r="L20" i="50"/>
  <c r="K10" i="49"/>
  <c r="K14" i="56"/>
  <c r="L18" i="51"/>
  <c r="L9" i="50"/>
  <c r="K15" i="49"/>
  <c r="K13" i="56"/>
  <c r="L10" i="51"/>
  <c r="L14" i="50"/>
  <c r="K14" i="49"/>
  <c r="K12" i="56"/>
  <c r="L17" i="51"/>
  <c r="L18" i="50"/>
  <c r="K13" i="49"/>
  <c r="K11" i="56"/>
  <c r="L14" i="51"/>
  <c r="L21" i="50"/>
  <c r="K9" i="49"/>
  <c r="K10" i="56"/>
  <c r="L11" i="51"/>
  <c r="L11" i="50"/>
  <c r="K12" i="49"/>
  <c r="K9" i="56"/>
  <c r="L15" i="51"/>
  <c r="L15" i="50"/>
  <c r="H20" i="49"/>
  <c r="H20" i="56"/>
  <c r="I19" i="51"/>
  <c r="I12" i="50"/>
  <c r="H18" i="49"/>
  <c r="H18" i="56"/>
  <c r="I20" i="51"/>
  <c r="I16" i="50"/>
  <c r="H11" i="49"/>
  <c r="H16" i="56"/>
  <c r="I21" i="51"/>
  <c r="I19" i="50"/>
  <c r="H10" i="49"/>
  <c r="H14" i="56"/>
  <c r="I18" i="51"/>
  <c r="I9" i="50"/>
  <c r="H14" i="49"/>
  <c r="H12" i="56"/>
  <c r="I17" i="51"/>
  <c r="I18" i="50"/>
  <c r="H9" i="49"/>
  <c r="H10" i="56"/>
  <c r="I11" i="51"/>
  <c r="I11" i="50"/>
  <c r="E21" i="49"/>
  <c r="E12" i="51"/>
  <c r="E21" i="56"/>
  <c r="E17" i="50"/>
  <c r="E19" i="49"/>
  <c r="E19" i="56"/>
  <c r="E16" i="51"/>
  <c r="E10" i="50"/>
  <c r="E17" i="49"/>
  <c r="E17" i="56"/>
  <c r="E9" i="51"/>
  <c r="E13" i="50"/>
  <c r="E16" i="49"/>
  <c r="E15" i="56"/>
  <c r="E13" i="51"/>
  <c r="E20" i="50"/>
  <c r="E15" i="49"/>
  <c r="E13" i="56"/>
  <c r="E10" i="51"/>
  <c r="E14" i="50"/>
  <c r="E13" i="49"/>
  <c r="E11" i="56"/>
  <c r="E14" i="51"/>
  <c r="E21" i="50"/>
  <c r="F20" i="49"/>
  <c r="F20" i="56"/>
  <c r="G19" i="51"/>
  <c r="G12" i="50"/>
  <c r="G17" i="43"/>
  <c r="F18" i="56"/>
  <c r="G20" i="51"/>
  <c r="G16" i="50"/>
  <c r="F11" i="49"/>
  <c r="F16" i="56"/>
  <c r="G21" i="51"/>
  <c r="G19" i="50"/>
  <c r="G20" i="43"/>
  <c r="F14" i="56"/>
  <c r="G18" i="51"/>
  <c r="G9" i="50"/>
  <c r="D10" i="56"/>
  <c r="D11" i="51"/>
  <c r="D11" i="50"/>
  <c r="D16" i="56"/>
  <c r="D21" i="51"/>
  <c r="D19" i="50"/>
  <c r="E15" i="43"/>
  <c r="T13" i="35"/>
  <c r="AK19" i="42"/>
  <c r="AQ10"/>
  <c r="AO13"/>
  <c r="AQ12"/>
  <c r="W14" i="40"/>
  <c r="W12"/>
  <c r="W9"/>
  <c r="W15"/>
  <c r="W16"/>
  <c r="W18"/>
  <c r="W20"/>
  <c r="AO15" i="42"/>
  <c r="W11" i="40"/>
  <c r="W13"/>
  <c r="W10"/>
  <c r="W21"/>
  <c r="W17"/>
  <c r="W19"/>
  <c r="X17" i="42"/>
  <c r="AG17"/>
  <c r="AO17"/>
  <c r="AL16"/>
  <c r="AE15"/>
  <c r="AE12"/>
  <c r="AJ13"/>
  <c r="AJ10"/>
  <c r="AJ20"/>
  <c r="U13"/>
  <c r="U10"/>
  <c r="U21"/>
  <c r="W21"/>
  <c r="U14"/>
  <c r="U18"/>
  <c r="U20"/>
  <c r="U15"/>
  <c r="U9"/>
  <c r="W9"/>
  <c r="U11"/>
  <c r="U17"/>
  <c r="U16"/>
  <c r="W16"/>
  <c r="U19"/>
  <c r="U12"/>
  <c r="AD15" i="41"/>
  <c r="AN10" i="42"/>
  <c r="AN15"/>
  <c r="AN21"/>
  <c r="AK16"/>
  <c r="AK13"/>
  <c r="AK9"/>
  <c r="AK11"/>
  <c r="AF11"/>
  <c r="AL11"/>
  <c r="AF9"/>
  <c r="AL9"/>
  <c r="AJ9"/>
  <c r="AJ21"/>
  <c r="AJ16"/>
  <c r="AJ18"/>
  <c r="AE17"/>
  <c r="AN17"/>
  <c r="AN12"/>
  <c r="AN19"/>
  <c r="AN18"/>
  <c r="AK15"/>
  <c r="AA19" i="43"/>
  <c r="AC19"/>
  <c r="AA16"/>
  <c r="AC16"/>
  <c r="AC10"/>
  <c r="M15"/>
  <c r="P21"/>
  <c r="N20"/>
  <c r="H17"/>
  <c r="H21"/>
  <c r="L21"/>
  <c r="G10"/>
  <c r="L18"/>
  <c r="K18"/>
  <c r="L14"/>
  <c r="E11"/>
  <c r="P20"/>
  <c r="M16"/>
  <c r="H21" i="42"/>
  <c r="O14" i="43"/>
  <c r="L19"/>
  <c r="K19"/>
  <c r="L13"/>
  <c r="E9"/>
  <c r="E19"/>
  <c r="E13"/>
  <c r="E20"/>
  <c r="E10"/>
  <c r="E18"/>
  <c r="E14"/>
  <c r="T13" i="49"/>
  <c r="X13"/>
  <c r="T15"/>
  <c r="X15"/>
  <c r="T10"/>
  <c r="X16"/>
  <c r="U9"/>
  <c r="T9"/>
  <c r="Y9"/>
  <c r="W12" i="41"/>
  <c r="P12" i="43"/>
  <c r="P9"/>
  <c r="P10"/>
  <c r="P15"/>
  <c r="H18" i="42"/>
  <c r="H12"/>
  <c r="H11"/>
  <c r="H13" i="43"/>
  <c r="O15"/>
  <c r="O10"/>
  <c r="K16"/>
  <c r="Z19" i="20"/>
  <c r="O12" i="43"/>
  <c r="L12"/>
  <c r="L17"/>
  <c r="K17"/>
  <c r="L9"/>
  <c r="L20"/>
  <c r="K20"/>
  <c r="L10"/>
  <c r="L11"/>
  <c r="K11"/>
  <c r="L15"/>
  <c r="I12"/>
  <c r="I21"/>
  <c r="I16"/>
  <c r="I17"/>
  <c r="I9"/>
  <c r="I19"/>
  <c r="I13"/>
  <c r="I20"/>
  <c r="I10"/>
  <c r="I18"/>
  <c r="I14"/>
  <c r="I11"/>
  <c r="I15"/>
  <c r="E12"/>
  <c r="E21"/>
  <c r="E16"/>
  <c r="E17"/>
  <c r="W12" i="35"/>
  <c r="W18"/>
  <c r="W20"/>
  <c r="F10" i="49"/>
  <c r="M11"/>
  <c r="M14"/>
  <c r="L16"/>
  <c r="F17"/>
  <c r="F18"/>
  <c r="I18"/>
  <c r="AC18"/>
  <c r="M18"/>
  <c r="I19"/>
  <c r="AC19"/>
  <c r="F21"/>
  <c r="W11" i="41"/>
  <c r="W16"/>
  <c r="M19" i="43"/>
  <c r="N21"/>
  <c r="AC10" i="41"/>
  <c r="AC20"/>
  <c r="AC14"/>
  <c r="AC19"/>
  <c r="AC12"/>
  <c r="AC17"/>
  <c r="N9" i="43"/>
  <c r="G21"/>
  <c r="G16"/>
  <c r="G19"/>
  <c r="G13"/>
  <c r="W9" i="35"/>
  <c r="W11"/>
  <c r="W13"/>
  <c r="W15"/>
  <c r="W19"/>
  <c r="I20" i="49"/>
  <c r="AC20"/>
  <c r="I21"/>
  <c r="AC21"/>
  <c r="AK12" i="42"/>
  <c r="AQ16"/>
  <c r="AK10"/>
  <c r="AN16"/>
  <c r="AE14"/>
  <c r="AF16"/>
  <c r="X20"/>
  <c r="AG20"/>
  <c r="AF14"/>
  <c r="X12"/>
  <c r="X13"/>
  <c r="R13" i="40"/>
  <c r="V13"/>
  <c r="R18"/>
  <c r="V18"/>
  <c r="AD19"/>
  <c r="V19"/>
  <c r="AD17"/>
  <c r="V17"/>
  <c r="O19"/>
  <c r="O10" i="39"/>
  <c r="N21" i="35"/>
  <c r="O21" i="42"/>
  <c r="N21" i="34"/>
  <c r="O20" i="41"/>
  <c r="X15" i="42"/>
  <c r="X13" i="41"/>
  <c r="W9"/>
  <c r="X14"/>
  <c r="X12"/>
  <c r="X9"/>
  <c r="AC9"/>
  <c r="R19" i="40"/>
  <c r="AE20" i="43"/>
  <c r="AC16" i="41"/>
  <c r="AD17"/>
  <c r="U19" i="40"/>
  <c r="Y19"/>
  <c r="Z74"/>
  <c r="AC19"/>
  <c r="AC75"/>
  <c r="Z19"/>
  <c r="AG76"/>
  <c r="Y17"/>
  <c r="Z66"/>
  <c r="AC17"/>
  <c r="AC67"/>
  <c r="Z17"/>
  <c r="AG68"/>
  <c r="K35" i="3"/>
  <c r="I35"/>
  <c r="AL10" i="42"/>
  <c r="R19" i="35"/>
  <c r="S19"/>
  <c r="R21"/>
  <c r="S21"/>
  <c r="Y50" i="40"/>
  <c r="X38"/>
  <c r="X43"/>
  <c r="Y70"/>
  <c r="X35"/>
  <c r="Y38"/>
  <c r="X45"/>
  <c r="Y78"/>
  <c r="X41"/>
  <c r="Y62"/>
  <c r="U11"/>
  <c r="AF11"/>
  <c r="AE43"/>
  <c r="AD11"/>
  <c r="AB11"/>
  <c r="AB42"/>
  <c r="Z11"/>
  <c r="AG44"/>
  <c r="AE11"/>
  <c r="AC11"/>
  <c r="AC43"/>
  <c r="AA11"/>
  <c r="AA42"/>
  <c r="Y11"/>
  <c r="Z42"/>
  <c r="R10"/>
  <c r="AE10"/>
  <c r="AD39"/>
  <c r="AC10"/>
  <c r="AC39"/>
  <c r="AA10"/>
  <c r="AA38"/>
  <c r="Y10"/>
  <c r="Z38"/>
  <c r="AF10"/>
  <c r="AE39"/>
  <c r="AD10"/>
  <c r="AB10"/>
  <c r="AB38"/>
  <c r="Z10"/>
  <c r="AG40"/>
  <c r="AF9"/>
  <c r="AE35"/>
  <c r="AD9"/>
  <c r="AB9"/>
  <c r="AB34"/>
  <c r="Z9"/>
  <c r="AG36"/>
  <c r="AE9"/>
  <c r="AD35"/>
  <c r="AC9"/>
  <c r="AC35"/>
  <c r="AA9"/>
  <c r="AA34"/>
  <c r="Y9"/>
  <c r="R15"/>
  <c r="AF15"/>
  <c r="AE59"/>
  <c r="AD15"/>
  <c r="AB15"/>
  <c r="AB58"/>
  <c r="Z15"/>
  <c r="AG60"/>
  <c r="AE15"/>
  <c r="AC15"/>
  <c r="AC59"/>
  <c r="AA15"/>
  <c r="AA58"/>
  <c r="Y15"/>
  <c r="Z58"/>
  <c r="AH84"/>
  <c r="AD83"/>
  <c r="AG9" i="42"/>
  <c r="AE15" i="43"/>
  <c r="AE18"/>
  <c r="AE9"/>
  <c r="AQ15" i="42"/>
  <c r="AG16"/>
  <c r="AE11" i="43"/>
  <c r="X39" i="40"/>
  <c r="Y54"/>
  <c r="Y82"/>
  <c r="X46"/>
  <c r="Y58"/>
  <c r="X40"/>
  <c r="Y42"/>
  <c r="X36"/>
  <c r="Y74"/>
  <c r="X44"/>
  <c r="Y66"/>
  <c r="X42"/>
  <c r="X37"/>
  <c r="Y46"/>
  <c r="U14"/>
  <c r="AE14"/>
  <c r="AC14"/>
  <c r="AC55"/>
  <c r="AA14"/>
  <c r="AA54"/>
  <c r="Y14"/>
  <c r="Z54"/>
  <c r="AF14"/>
  <c r="AE55"/>
  <c r="AD14"/>
  <c r="AB14"/>
  <c r="AB54"/>
  <c r="Z14"/>
  <c r="AG56"/>
  <c r="AE12"/>
  <c r="AC12"/>
  <c r="AC47"/>
  <c r="AA12"/>
  <c r="AA46"/>
  <c r="Y12"/>
  <c r="Z46"/>
  <c r="AF12"/>
  <c r="AE47"/>
  <c r="AD12"/>
  <c r="AB12"/>
  <c r="AB46"/>
  <c r="Z12"/>
  <c r="AG48"/>
  <c r="AF13"/>
  <c r="AE51"/>
  <c r="AD13"/>
  <c r="AB13"/>
  <c r="AB50"/>
  <c r="Z13"/>
  <c r="AG52"/>
  <c r="AE13"/>
  <c r="AC13"/>
  <c r="AC51"/>
  <c r="AA13"/>
  <c r="AA50"/>
  <c r="Y13"/>
  <c r="Z50"/>
  <c r="AE18"/>
  <c r="AD71"/>
  <c r="AC18"/>
  <c r="AC71"/>
  <c r="AA18"/>
  <c r="AA70"/>
  <c r="Y18"/>
  <c r="Z70"/>
  <c r="AF18"/>
  <c r="AE71"/>
  <c r="AD18"/>
  <c r="AB18"/>
  <c r="AB70"/>
  <c r="Z18"/>
  <c r="AG72"/>
  <c r="AE10" i="43"/>
  <c r="AG13" i="42"/>
  <c r="X14"/>
  <c r="AG14"/>
  <c r="AE19" i="43"/>
  <c r="AN14" i="42"/>
  <c r="AK17"/>
  <c r="AN13"/>
  <c r="W11"/>
  <c r="W18"/>
  <c r="AE11"/>
  <c r="AQ9"/>
  <c r="AO14"/>
  <c r="AO12"/>
  <c r="AQ13"/>
  <c r="X11"/>
  <c r="AG11"/>
  <c r="AF12"/>
  <c r="AG12"/>
  <c r="R13" i="39"/>
  <c r="R19"/>
  <c r="U12" i="40"/>
  <c r="U18"/>
  <c r="R14"/>
  <c r="R12"/>
  <c r="N11" i="42"/>
  <c r="AD9" i="41"/>
  <c r="P17" i="39"/>
  <c r="AL14" i="42"/>
  <c r="P10" i="35"/>
  <c r="T10"/>
  <c r="Q10"/>
  <c r="N11" i="43"/>
  <c r="N17" i="39"/>
  <c r="U13" i="40"/>
  <c r="R14" i="39"/>
  <c r="AE18" i="42"/>
  <c r="U17" i="49"/>
  <c r="Y17"/>
  <c r="U16"/>
  <c r="U15"/>
  <c r="Y13"/>
  <c r="P15" i="50"/>
  <c r="P14" i="51"/>
  <c r="O18" i="50"/>
  <c r="O11" i="51"/>
  <c r="P10"/>
  <c r="O16" i="49"/>
  <c r="O17" i="56"/>
  <c r="P10" i="50"/>
  <c r="P12" i="51"/>
  <c r="N15"/>
  <c r="M9" i="56"/>
  <c r="M16" i="50"/>
  <c r="O11" i="35"/>
  <c r="M20"/>
  <c r="O11" i="34"/>
  <c r="U15" i="40"/>
  <c r="W13" i="41"/>
  <c r="W18"/>
  <c r="W10"/>
  <c r="R11" i="40"/>
  <c r="R9"/>
  <c r="X11" i="41"/>
  <c r="AD18"/>
  <c r="P11" i="42"/>
  <c r="W17" i="41"/>
  <c r="U9" i="40"/>
  <c r="N11"/>
  <c r="U10"/>
  <c r="X10" i="42"/>
  <c r="N16" i="39"/>
  <c r="N17" i="42"/>
  <c r="M17" i="35"/>
  <c r="N18" i="41"/>
  <c r="P18" i="35"/>
  <c r="T18"/>
  <c r="U18"/>
  <c r="N9" i="40"/>
  <c r="N9" i="42"/>
  <c r="N10" i="41"/>
  <c r="N9" i="39"/>
  <c r="N20" i="42"/>
  <c r="N15" i="39"/>
  <c r="AF21" i="42"/>
  <c r="P13" i="35"/>
  <c r="N16" i="43"/>
  <c r="N11" i="41"/>
  <c r="N11" i="39"/>
  <c r="N14" i="43"/>
  <c r="M11" i="35"/>
  <c r="M11" i="34"/>
  <c r="N21" i="41"/>
  <c r="O9" i="43"/>
  <c r="P14"/>
  <c r="P13"/>
  <c r="P16"/>
  <c r="AE20" i="42"/>
  <c r="AE21"/>
  <c r="X12" i="49"/>
  <c r="Y12"/>
  <c r="X11"/>
  <c r="Y10"/>
  <c r="U14"/>
  <c r="Y14"/>
  <c r="O13" i="43"/>
  <c r="AI20" i="42"/>
  <c r="AI18"/>
  <c r="AI21"/>
  <c r="P15" i="51"/>
  <c r="O9" i="56"/>
  <c r="P21" i="50"/>
  <c r="O13" i="49"/>
  <c r="M18" i="50"/>
  <c r="M17" i="51"/>
  <c r="O9"/>
  <c r="O20" i="50"/>
  <c r="O13" i="51"/>
  <c r="O12" i="50"/>
  <c r="O20" i="51"/>
  <c r="O19" i="50"/>
  <c r="O21" i="51"/>
  <c r="P14" i="50"/>
  <c r="P13" i="51"/>
  <c r="O15" i="56"/>
  <c r="P13" i="50"/>
  <c r="P16" i="51"/>
  <c r="O19" i="56"/>
  <c r="P17" i="50"/>
  <c r="O9" i="35"/>
  <c r="P20" i="42"/>
  <c r="P18" i="40"/>
  <c r="O20" i="35"/>
  <c r="O20" i="34"/>
  <c r="P15" i="39"/>
  <c r="P17" i="41"/>
  <c r="P19"/>
  <c r="O18" i="35"/>
  <c r="P16" i="42"/>
  <c r="P14" i="40"/>
  <c r="O16" i="35"/>
  <c r="P14" i="41"/>
  <c r="P20" i="39"/>
  <c r="O16" i="34"/>
  <c r="P14" i="42"/>
  <c r="P15" i="41"/>
  <c r="P13" i="39"/>
  <c r="O14" i="34"/>
  <c r="P17" i="40"/>
  <c r="O14" i="35"/>
  <c r="P13" i="41"/>
  <c r="P19" i="39"/>
  <c r="P21" i="42"/>
  <c r="P19" i="40"/>
  <c r="O21" i="35"/>
  <c r="P10" i="39"/>
  <c r="O21" i="34"/>
  <c r="P20" i="41"/>
  <c r="P19" i="42"/>
  <c r="P11" i="41"/>
  <c r="P11" i="39"/>
  <c r="P10" i="40"/>
  <c r="O19" i="35"/>
  <c r="O19" i="34"/>
  <c r="P17" i="42"/>
  <c r="P18" i="41"/>
  <c r="P16" i="39"/>
  <c r="O17" i="34"/>
  <c r="P11" i="40"/>
  <c r="O17" i="35"/>
  <c r="P15" i="42"/>
  <c r="P16" i="40"/>
  <c r="O15" i="35"/>
  <c r="O15" i="34"/>
  <c r="P16" i="41"/>
  <c r="P14" i="39"/>
  <c r="P13" i="42"/>
  <c r="P12" i="40"/>
  <c r="P18" i="39"/>
  <c r="P9" i="41"/>
  <c r="O13" i="35"/>
  <c r="O13" i="34"/>
  <c r="P12" i="39"/>
  <c r="P21" i="41"/>
  <c r="P10"/>
  <c r="O9" i="34"/>
  <c r="P9" i="39"/>
  <c r="T12" i="49"/>
  <c r="Y11"/>
  <c r="T11"/>
  <c r="X10"/>
  <c r="X14"/>
  <c r="T14"/>
  <c r="P11" i="43"/>
  <c r="P17"/>
  <c r="P19"/>
  <c r="AK21" i="42"/>
  <c r="AK14"/>
  <c r="AN9"/>
  <c r="AN11"/>
  <c r="W20"/>
  <c r="AO9"/>
  <c r="AO11"/>
  <c r="P11" i="51"/>
  <c r="O10" i="56"/>
  <c r="P17" i="51"/>
  <c r="O12" i="56"/>
  <c r="O10" i="51"/>
  <c r="O18"/>
  <c r="O17"/>
  <c r="P18"/>
  <c r="O14" i="56"/>
  <c r="P21" i="51"/>
  <c r="O16" i="56"/>
  <c r="P20" i="51"/>
  <c r="O18" i="56"/>
  <c r="P19" i="51"/>
  <c r="O20" i="56"/>
  <c r="M19" i="51"/>
  <c r="O10" i="35"/>
  <c r="P15" i="40"/>
  <c r="P21" i="39"/>
  <c r="P18" i="42"/>
  <c r="P18" i="43"/>
  <c r="P12" i="41"/>
  <c r="P13" i="40"/>
  <c r="AF15" i="42"/>
  <c r="AG15"/>
  <c r="O10"/>
  <c r="O12" i="41"/>
  <c r="O17" i="39"/>
  <c r="N10" i="34"/>
  <c r="O11" i="43"/>
  <c r="O13" i="40"/>
  <c r="N10" i="35"/>
  <c r="O18" i="43"/>
  <c r="O13" i="41"/>
  <c r="O19" i="39"/>
  <c r="O12" i="42"/>
  <c r="O15" i="40"/>
  <c r="N12" i="35"/>
  <c r="N12" i="34"/>
  <c r="O13" i="42"/>
  <c r="O9" i="41"/>
  <c r="O18" i="39"/>
  <c r="N13" i="34"/>
  <c r="O12" i="40"/>
  <c r="N13" i="35"/>
  <c r="O17" i="40"/>
  <c r="N14" i="35"/>
  <c r="N14" i="34"/>
  <c r="O20" i="43"/>
  <c r="O14" i="42"/>
  <c r="O15" i="41"/>
  <c r="O13" i="39"/>
  <c r="M18" i="42"/>
  <c r="M21" i="40"/>
  <c r="L18" i="35"/>
  <c r="L18" i="34"/>
  <c r="M17" i="43"/>
  <c r="M19" i="41"/>
  <c r="M21" i="39"/>
  <c r="M20" i="42"/>
  <c r="M17" i="41"/>
  <c r="M15" i="39"/>
  <c r="L20" i="34"/>
  <c r="M21" i="43"/>
  <c r="M18" i="40"/>
  <c r="L20" i="35"/>
  <c r="L21"/>
  <c r="M21" i="42"/>
  <c r="M20" i="41"/>
  <c r="M10" i="39"/>
  <c r="T9" i="35"/>
  <c r="P9"/>
  <c r="Q9"/>
  <c r="T20"/>
  <c r="U20"/>
  <c r="Q20"/>
  <c r="P20"/>
  <c r="P16"/>
  <c r="Q16"/>
  <c r="T16"/>
  <c r="T12"/>
  <c r="P12"/>
  <c r="Q12"/>
  <c r="M12" i="42"/>
  <c r="M13" i="41"/>
  <c r="M19" i="39"/>
  <c r="L12" i="34"/>
  <c r="M18" i="43"/>
  <c r="M15" i="40"/>
  <c r="L12" i="35"/>
  <c r="M15" i="42"/>
  <c r="M16" i="41"/>
  <c r="L15" i="35"/>
  <c r="M16" i="40"/>
  <c r="M14" i="39"/>
  <c r="L15" i="34"/>
  <c r="O16" i="40"/>
  <c r="O14" i="39"/>
  <c r="O15" i="42"/>
  <c r="O16" i="41"/>
  <c r="N15" i="35"/>
  <c r="N15" i="34"/>
  <c r="O19" i="43"/>
  <c r="O14" i="41"/>
  <c r="O20" i="39"/>
  <c r="O16" i="42"/>
  <c r="O14" i="40"/>
  <c r="N16" i="35"/>
  <c r="N16" i="34"/>
  <c r="O17" i="42"/>
  <c r="O18" i="41"/>
  <c r="N17" i="35"/>
  <c r="N17" i="34"/>
  <c r="O11" i="40"/>
  <c r="O16" i="39"/>
  <c r="O18" i="42"/>
  <c r="O21" i="40"/>
  <c r="N18" i="35"/>
  <c r="O17" i="43"/>
  <c r="O19" i="41"/>
  <c r="O21" i="39"/>
  <c r="N18" i="34"/>
  <c r="O20" i="42"/>
  <c r="O21" i="43"/>
  <c r="O17" i="41"/>
  <c r="O15" i="39"/>
  <c r="O18" i="40"/>
  <c r="N20" i="35"/>
  <c r="N20" i="34"/>
  <c r="AE10" i="42"/>
  <c r="X9" i="49"/>
  <c r="X17"/>
  <c r="Y16"/>
  <c r="Y15"/>
  <c r="U13"/>
  <c r="M12" i="43"/>
  <c r="AE19" i="42"/>
  <c r="AK20"/>
  <c r="AK18"/>
  <c r="W19"/>
  <c r="AI19"/>
  <c r="AH21"/>
  <c r="M17" i="50"/>
  <c r="M12" i="51"/>
  <c r="L21" i="49"/>
  <c r="O14" i="50"/>
  <c r="N15" i="49"/>
  <c r="O9" i="50"/>
  <c r="N10" i="49"/>
  <c r="N12" i="56"/>
  <c r="O11" i="50"/>
  <c r="N9" i="49"/>
  <c r="R20" i="35"/>
  <c r="M12" i="50"/>
  <c r="L20" i="49"/>
  <c r="M20" i="51"/>
  <c r="L18" i="56"/>
  <c r="L21" i="34"/>
  <c r="T15" i="35"/>
  <c r="P15"/>
  <c r="Q15"/>
  <c r="Q21"/>
  <c r="P21"/>
  <c r="T21"/>
  <c r="U21"/>
  <c r="T11"/>
  <c r="P11"/>
  <c r="Q11"/>
  <c r="T19"/>
  <c r="U19"/>
  <c r="P19"/>
  <c r="Q19"/>
  <c r="T25" i="49"/>
  <c r="AE13" i="42"/>
  <c r="AE16"/>
  <c r="AE9"/>
  <c r="AB18" i="49"/>
  <c r="AB19"/>
  <c r="AB20"/>
  <c r="AB21"/>
  <c r="N19" i="56"/>
  <c r="O16" i="51"/>
  <c r="O10" i="50"/>
  <c r="X12" i="51"/>
  <c r="AE12"/>
  <c r="W12"/>
  <c r="AC12"/>
  <c r="AD12"/>
  <c r="X12" i="50"/>
  <c r="AE12"/>
  <c r="W12"/>
  <c r="AD12"/>
  <c r="AC12"/>
  <c r="W16" i="51"/>
  <c r="AC16"/>
  <c r="X16"/>
  <c r="AE16"/>
  <c r="AD16"/>
  <c r="X16" i="50"/>
  <c r="AE16"/>
  <c r="AD16"/>
  <c r="W16"/>
  <c r="AC16"/>
  <c r="X9" i="51"/>
  <c r="AD9"/>
  <c r="W9"/>
  <c r="AC9"/>
  <c r="X19" i="50"/>
  <c r="AD19"/>
  <c r="W19"/>
  <c r="AC19"/>
  <c r="W13" i="51"/>
  <c r="X13"/>
  <c r="AD13"/>
  <c r="AC13"/>
  <c r="W9" i="50"/>
  <c r="AC9"/>
  <c r="X9"/>
  <c r="AD9"/>
  <c r="W10" i="51"/>
  <c r="AC10"/>
  <c r="X10"/>
  <c r="AD10"/>
  <c r="W18" i="50"/>
  <c r="AC18"/>
  <c r="X18"/>
  <c r="AD18"/>
  <c r="X14" i="51"/>
  <c r="W14"/>
  <c r="AC14"/>
  <c r="AD14"/>
  <c r="W11" i="50"/>
  <c r="AC11"/>
  <c r="X11"/>
  <c r="AD11"/>
  <c r="X15" i="51"/>
  <c r="W15"/>
  <c r="AC15"/>
  <c r="AD15"/>
  <c r="X17" i="50"/>
  <c r="AE17"/>
  <c r="W17"/>
  <c r="AD17"/>
  <c r="AC17"/>
  <c r="W19" i="51"/>
  <c r="X19"/>
  <c r="AE19"/>
  <c r="AD19"/>
  <c r="AC19"/>
  <c r="W10" i="50"/>
  <c r="X10"/>
  <c r="AE10"/>
  <c r="AC10"/>
  <c r="AD10"/>
  <c r="AD22"/>
  <c r="W20" i="51"/>
  <c r="AC20"/>
  <c r="X20"/>
  <c r="AE20"/>
  <c r="AD20"/>
  <c r="AC13" i="50"/>
  <c r="W13"/>
  <c r="X13"/>
  <c r="AD13"/>
  <c r="X21" i="51"/>
  <c r="X26"/>
  <c r="AD21"/>
  <c r="W21"/>
  <c r="AC21"/>
  <c r="AC20" i="50"/>
  <c r="W20"/>
  <c r="X20"/>
  <c r="AD20"/>
  <c r="X18" i="51"/>
  <c r="AD18"/>
  <c r="W18"/>
  <c r="AC18"/>
  <c r="X14" i="50"/>
  <c r="AD14"/>
  <c r="W14"/>
  <c r="AC14"/>
  <c r="W17" i="51"/>
  <c r="AC17"/>
  <c r="X17"/>
  <c r="AD17"/>
  <c r="X21" i="50"/>
  <c r="AD21"/>
  <c r="W21"/>
  <c r="AC21"/>
  <c r="X11" i="51"/>
  <c r="W11"/>
  <c r="AC11"/>
  <c r="AD11"/>
  <c r="W15" i="50"/>
  <c r="X15"/>
  <c r="AC15"/>
  <c r="AD15"/>
  <c r="W22" i="40"/>
  <c r="AI23" i="42"/>
  <c r="AL19"/>
  <c r="AH19"/>
  <c r="AF19"/>
  <c r="AL20"/>
  <c r="AH20"/>
  <c r="AF20"/>
  <c r="AL18"/>
  <c r="AF18"/>
  <c r="AH18"/>
  <c r="W17"/>
  <c r="AP17"/>
  <c r="AM9"/>
  <c r="AP9"/>
  <c r="W14"/>
  <c r="AP14"/>
  <c r="W10"/>
  <c r="AP10"/>
  <c r="W12"/>
  <c r="AP12"/>
  <c r="AM16"/>
  <c r="AP16"/>
  <c r="AM11"/>
  <c r="AP11"/>
  <c r="W15"/>
  <c r="AP15"/>
  <c r="W13"/>
  <c r="AP13"/>
  <c r="AJ19"/>
  <c r="AJ17"/>
  <c r="AM12"/>
  <c r="AM19"/>
  <c r="AM17"/>
  <c r="AM15"/>
  <c r="AM20"/>
  <c r="AM18"/>
  <c r="AM14"/>
  <c r="AM21"/>
  <c r="AM10"/>
  <c r="AM13"/>
  <c r="AJ12"/>
  <c r="AJ14"/>
  <c r="AJ11"/>
  <c r="AJ15"/>
  <c r="X20" i="49"/>
  <c r="Y20"/>
  <c r="Z20"/>
  <c r="AA20"/>
  <c r="Y21"/>
  <c r="Z21"/>
  <c r="AA21"/>
  <c r="X21"/>
  <c r="Y19"/>
  <c r="X19"/>
  <c r="Z19"/>
  <c r="AA19"/>
  <c r="Y18"/>
  <c r="Z18"/>
  <c r="AA18"/>
  <c r="X18"/>
  <c r="N19"/>
  <c r="O16" i="43"/>
  <c r="O19" i="42"/>
  <c r="O11" i="41"/>
  <c r="O11" i="39"/>
  <c r="N19" i="34"/>
  <c r="O10" i="40"/>
  <c r="N19" i="35"/>
  <c r="AD23" i="51"/>
  <c r="AD24"/>
  <c r="AD26"/>
  <c r="AD25"/>
  <c r="X24"/>
  <c r="X23"/>
  <c r="X25"/>
  <c r="AE11"/>
  <c r="AE21" i="50"/>
  <c r="AE17" i="51"/>
  <c r="AE14" i="50"/>
  <c r="AE18" i="51"/>
  <c r="AE20" i="50"/>
  <c r="AE21" i="51"/>
  <c r="AE15"/>
  <c r="AE14"/>
  <c r="AE18" i="50"/>
  <c r="AE10" i="51"/>
  <c r="AE9" i="50"/>
  <c r="AE19"/>
  <c r="AE9" i="51"/>
  <c r="X23" i="42"/>
  <c r="AG10"/>
  <c r="AH56" i="40"/>
  <c r="AD55"/>
  <c r="AH60"/>
  <c r="AD59"/>
  <c r="AE15" i="50"/>
  <c r="AE13" i="51"/>
  <c r="X23" i="50"/>
  <c r="AE13"/>
  <c r="X22"/>
  <c r="AE11"/>
  <c r="AH52" i="40"/>
  <c r="AD51"/>
  <c r="AH48"/>
  <c r="AD47"/>
  <c r="AH44"/>
  <c r="AD43"/>
  <c r="U22"/>
  <c r="T24" i="35"/>
  <c r="T24" i="49"/>
  <c r="X22" i="42"/>
  <c r="Y23" i="49"/>
  <c r="AF23" i="42"/>
  <c r="U25" i="49"/>
  <c r="T23" i="35"/>
  <c r="AH23" i="42"/>
  <c r="U23" i="49"/>
  <c r="U24"/>
  <c r="Q26" i="35"/>
  <c r="Q27"/>
  <c r="Q28"/>
  <c r="P27"/>
  <c r="P26"/>
  <c r="P28"/>
  <c r="AD23" i="50"/>
  <c r="Z34" i="40"/>
</calcChain>
</file>

<file path=xl/sharedStrings.xml><?xml version="1.0" encoding="utf-8"?>
<sst xmlns="http://schemas.openxmlformats.org/spreadsheetml/2006/main" count="730" uniqueCount="238">
  <si>
    <t>Project Name / Owner</t>
  </si>
  <si>
    <t>Number of Housing Units</t>
  </si>
  <si>
    <t>Location</t>
  </si>
  <si>
    <r>
      <t xml:space="preserve">Pre-DER Cond. Floor Area
</t>
    </r>
    <r>
      <rPr>
        <sz val="9"/>
        <color indexed="8"/>
        <rFont val="Arial"/>
        <family val="2"/>
      </rPr>
      <t>(sq.ft.)</t>
    </r>
  </si>
  <si>
    <t>Building Type</t>
  </si>
  <si>
    <t>Stories</t>
  </si>
  <si>
    <t>Approx. Year Built</t>
  </si>
  <si>
    <t>Status</t>
  </si>
  <si>
    <t>Double checked numbers? (Y/N)</t>
  </si>
  <si>
    <t>Source for Geometry Data</t>
  </si>
  <si>
    <r>
      <t xml:space="preserve">Post-DER Con. Floor Area        </t>
    </r>
    <r>
      <rPr>
        <sz val="9"/>
        <color indexed="8"/>
        <rFont val="Arial"/>
        <family val="2"/>
      </rPr>
      <t>(sq.ft.)</t>
    </r>
  </si>
  <si>
    <t>Pre-DER Enclosure Area (sf)</t>
  </si>
  <si>
    <t>Post-DER Enclosure Area (sf)</t>
  </si>
  <si>
    <t>Pre-DER Volume (ft3)</t>
  </si>
  <si>
    <t>Post-DER Volume (ft3)</t>
  </si>
  <si>
    <t>Pre-DER   CFM 50</t>
  </si>
  <si>
    <t>Post-DER CFM 50</t>
  </si>
  <si>
    <t xml:space="preserve">Pre-DER   ACH 50 </t>
  </si>
  <si>
    <t xml:space="preserve">Post-DER ACH 50 </t>
  </si>
  <si>
    <t>Pre-DER   CFM 50 per Sq.Ft. of Enclosure</t>
    <phoneticPr fontId="0" type="noConversion"/>
  </si>
  <si>
    <t>Post-DER CFM 50 per Sq. Ft. of Enclosure</t>
    <phoneticPr fontId="0" type="noConversion"/>
  </si>
  <si>
    <t>Pre-DER CFM/sf Conditioned floor area</t>
  </si>
  <si>
    <t>Post-DER CFM/sf Conditioned floor area</t>
  </si>
  <si>
    <t>National Grid Deep Energy Retrofit Pilot</t>
  </si>
  <si>
    <t>C</t>
  </si>
  <si>
    <t>Clark</t>
  </si>
  <si>
    <t>Brownsberger</t>
  </si>
  <si>
    <t>Tweedly</t>
  </si>
  <si>
    <t>Koh</t>
  </si>
  <si>
    <t>Hall</t>
  </si>
  <si>
    <t>Venable-Hwang</t>
  </si>
  <si>
    <t>C</t>
    <phoneticPr fontId="0" type="noConversion"/>
  </si>
  <si>
    <t>Lavine</t>
  </si>
  <si>
    <t>Buhs</t>
  </si>
  <si>
    <t>Wick</t>
  </si>
  <si>
    <t>Habitat for Humanity of North Central Massachusetts</t>
  </si>
  <si>
    <t>Aquiline</t>
  </si>
  <si>
    <t>Atkins</t>
  </si>
  <si>
    <t>Cunningham</t>
  </si>
  <si>
    <t>Sort Order</t>
  </si>
  <si>
    <t>Pre-Retrofit Basement</t>
  </si>
  <si>
    <t>Post Retrofit Basement</t>
  </si>
  <si>
    <t>Per household</t>
  </si>
  <si>
    <t>6 mo source kbtu/cond s.f.</t>
  </si>
  <si>
    <t>N</t>
  </si>
  <si>
    <t>Y</t>
  </si>
  <si>
    <t>(Electric) Cooling</t>
  </si>
  <si>
    <t>Electric DHW</t>
  </si>
  <si>
    <t xml:space="preserve">Electric Heating </t>
  </si>
  <si>
    <t>12 months source w/ PV credit</t>
  </si>
  <si>
    <t>6 months source w PV credit</t>
  </si>
  <si>
    <t>Arlington-2</t>
  </si>
  <si>
    <t>Belmont-2</t>
  </si>
  <si>
    <t>Jamaica Plain-3</t>
  </si>
  <si>
    <t>6 months site kbtu/cond s.f.</t>
  </si>
  <si>
    <t>6 months site heating/cooling</t>
  </si>
  <si>
    <t xml:space="preserve">12 months heating/cooling site </t>
  </si>
  <si>
    <t xml:space="preserve">12 months Heating/Cooling source </t>
  </si>
  <si>
    <t xml:space="preserve">6 months Heating/Cooling source </t>
  </si>
  <si>
    <t>6 months heating cooling source kbtu/cond s.f.</t>
  </si>
  <si>
    <t>6 months heating cooling site kbtu/cond s.f.</t>
  </si>
  <si>
    <t>12 months heating cooling site kbtu/cond s.f.</t>
  </si>
  <si>
    <t>12 months heating cooling source kbtu/cond s.f.</t>
  </si>
  <si>
    <t>Basement insulation type:1=none;2=rigid;3=spray/conc;4=spray/stone</t>
  </si>
  <si>
    <t>Type of project: upgrade = 1; minor = 2;major addition = 3</t>
  </si>
  <si>
    <t>PV size</t>
  </si>
  <si>
    <t>2.8 kW</t>
  </si>
  <si>
    <t>3.75 kW</t>
  </si>
  <si>
    <t>4.3 kW</t>
  </si>
  <si>
    <t>5 kW</t>
  </si>
  <si>
    <t>6.25 kW</t>
  </si>
  <si>
    <t>Mean</t>
  </si>
  <si>
    <t>Std Dev</t>
  </si>
  <si>
    <t>Electricity</t>
  </si>
  <si>
    <t>Natural Gas</t>
  </si>
  <si>
    <t>Propane/ LPG</t>
  </si>
  <si>
    <t>Fuel Oil</t>
  </si>
  <si>
    <t>Kerosene</t>
  </si>
  <si>
    <t>Propane</t>
  </si>
  <si>
    <t>Table CE2.2  Household Fuel Consumption in the Northeast Region, Totals and Averages, 2009</t>
  </si>
  <si>
    <t>http://www.eia.gov/emeu/efficiency/recs_tables_list.htm</t>
  </si>
  <si>
    <r>
      <t>Total Housing Units</t>
    </r>
    <r>
      <rPr>
        <vertAlign val="superscript"/>
        <sz val="10"/>
        <rFont val="Arial"/>
        <family val="2"/>
      </rPr>
      <t>1</t>
    </r>
    <r>
      <rPr>
        <b/>
        <vertAlign val="superscript"/>
        <sz val="10"/>
        <rFont val="Arial"/>
        <family val="2"/>
      </rPr>
      <t xml:space="preserve">
</t>
    </r>
    <r>
      <rPr>
        <sz val="8"/>
        <rFont val="Arial"/>
        <family val="2"/>
      </rPr>
      <t>(millions)</t>
    </r>
  </si>
  <si>
    <t>Housing Unit Characteristics and 
Energy Usage Indicators</t>
  </si>
  <si>
    <t>Total Northeast</t>
  </si>
  <si>
    <t xml:space="preserve">                         British Thermal Units (Btu), Preliminary</t>
  </si>
  <si>
    <t>Energy Star 11</t>
  </si>
  <si>
    <t>Source-Site ratios</t>
  </si>
  <si>
    <r>
      <t xml:space="preserve">Total Consumption 
</t>
    </r>
    <r>
      <rPr>
        <sz val="8"/>
        <rFont val="Arial"/>
        <family val="2"/>
      </rPr>
      <t>(quadrillion Btu)</t>
    </r>
  </si>
  <si>
    <r>
      <t xml:space="preserve">Average Consumption
</t>
    </r>
    <r>
      <rPr>
        <sz val="8"/>
        <rFont val="Arial"/>
        <family val="2"/>
      </rPr>
      <t>(million Btu per household using the fuel)</t>
    </r>
  </si>
  <si>
    <r>
      <t>Total</t>
    </r>
    <r>
      <rPr>
        <vertAlign val="superscript"/>
        <sz val="10"/>
        <rFont val="Arial"/>
        <family val="2"/>
      </rPr>
      <t>2 (Site)</t>
    </r>
  </si>
  <si>
    <t>6 mo source kbtu/cond s.f. w PV credit</t>
  </si>
  <si>
    <t>Full chainsaw; N=1; Y=2</t>
  </si>
  <si>
    <t>Src</t>
  </si>
  <si>
    <t>% Tot</t>
  </si>
  <si>
    <t>This src computation uses same logic as KU's 2005 EIA Analysis</t>
  </si>
  <si>
    <t>Mbtus</t>
  </si>
  <si>
    <t>Site/household in Mbtus</t>
  </si>
  <si>
    <t>MBtus</t>
  </si>
  <si>
    <t>Source/household in MBtus</t>
  </si>
  <si>
    <t>6 mo site kbtu/con s.f.</t>
  </si>
  <si>
    <t>Actual source data; 12 months if available, else 6 months</t>
  </si>
  <si>
    <t xml:space="preserve">Projected 6 months where 12 months is not available </t>
  </si>
  <si>
    <t>6 months heating cooling source kbtu/cond s.f. when 12 mo not available</t>
  </si>
  <si>
    <t>6 months source Mbtu only if no 12 months is available</t>
  </si>
  <si>
    <t>Calculation of fuel consumption distribution for DER pilot projects</t>
  </si>
  <si>
    <t>6 months of data</t>
  </si>
  <si>
    <t>Electricity (kwh)</t>
  </si>
  <si>
    <t>Natural Gas (therms)</t>
  </si>
  <si>
    <t>Propane (gal)</t>
  </si>
  <si>
    <t>Total (Mbtu)</t>
  </si>
  <si>
    <t>% of total</t>
  </si>
  <si>
    <t>12 months of data</t>
  </si>
  <si>
    <t>%total</t>
  </si>
  <si>
    <t>therm to MBTU</t>
  </si>
  <si>
    <t>kwh to Mbtu</t>
  </si>
  <si>
    <t>Electricity (MBtu)</t>
  </si>
  <si>
    <t>Natural Gas (MBtu)</t>
  </si>
  <si>
    <t>Propane (MBtu)</t>
  </si>
  <si>
    <t>Propane gal to Mbtu</t>
  </si>
  <si>
    <t>Retrofit data</t>
  </si>
  <si>
    <t>Pre retrofit data</t>
  </si>
  <si>
    <t>Oil (gal)</t>
  </si>
  <si>
    <t>Oil (Mbtu)</t>
  </si>
  <si>
    <t>Firewood or Pellets (Mbtu)</t>
  </si>
  <si>
    <t>gal oil to Mbtu</t>
  </si>
  <si>
    <t>2011 report: pre-retrofit</t>
  </si>
  <si>
    <t>2011 report: post-retrofit</t>
  </si>
  <si>
    <t>Weather normalized pre-retrofit src MMBtu</t>
  </si>
  <si>
    <t>Min monthly site MMBtu</t>
  </si>
  <si>
    <t>Min monthly source MMBtu</t>
  </si>
  <si>
    <t>6 months source MMBtu</t>
  </si>
  <si>
    <t>6 months site MMBtu</t>
  </si>
  <si>
    <t>12 months source MMBtu</t>
  </si>
  <si>
    <t>12 months site MMBtu</t>
  </si>
  <si>
    <t>12 months pre-retrofit source MMBtu</t>
  </si>
  <si>
    <t>12 months pre-retrofit site MMBtu</t>
  </si>
  <si>
    <t>Weather normalized 12 or 6 mo post-retrofit src MMBtu</t>
  </si>
  <si>
    <t>Weather normalized 12 or 6 mo post-retrofit site MMBtu</t>
  </si>
  <si>
    <t>12 Mo only Per household</t>
  </si>
  <si>
    <t>6 Mo only Per household TIMES 2</t>
  </si>
  <si>
    <t>Weather normalized 12 months site kbtu/cond s.f.</t>
  </si>
  <si>
    <t>Weather normalized 12 months source kbtu/cond s.f.</t>
  </si>
  <si>
    <t>Weather normalized projected 12 mo site kbtu/cond s.f. if 12 mo not available</t>
  </si>
  <si>
    <t>projected 12 months heating cooling source kbtu/cond s.f. when 12 mo not available</t>
  </si>
  <si>
    <t>% reduction</t>
  </si>
  <si>
    <t>Basement: walls +slab =3; walls only =2; neither =1</t>
  </si>
  <si>
    <t>Ratio of actual source to site w/o PV credit 6 mo</t>
  </si>
  <si>
    <t>12 months non H/C source</t>
  </si>
  <si>
    <t>6 months non H/C  site</t>
  </si>
  <si>
    <t>6 months non-h/C source</t>
  </si>
  <si>
    <t>12 months non H/C site</t>
  </si>
  <si>
    <t>6 months percent of h/c source energy</t>
  </si>
  <si>
    <t xml:space="preserve">12 months percent of h/c source energy </t>
  </si>
  <si>
    <t>12 months H/C site energy use per household</t>
  </si>
  <si>
    <t>12 months H/C source energy use per household</t>
  </si>
  <si>
    <t>12 months pre-retrofit electricity source MMBtu</t>
  </si>
  <si>
    <t>12 months pre-retrofit natural gas or propane source MMBtu</t>
  </si>
  <si>
    <t>12 months pre-retrofit oil source MMBtu</t>
  </si>
  <si>
    <t>12 months pre-retrofit other source MMBtu</t>
  </si>
  <si>
    <t>12 months post-retrofit oil source MMBtu</t>
  </si>
  <si>
    <t>electricity</t>
  </si>
  <si>
    <t>gas/propane</t>
  </si>
  <si>
    <t>oil</t>
  </si>
  <si>
    <t>other</t>
  </si>
  <si>
    <t xml:space="preserve"> oil</t>
  </si>
  <si>
    <t>12 (or 6) months post-retrofit electricity source MMBtu</t>
  </si>
  <si>
    <t>12 (or 6) months post-retrofit natural gas or propane source MMBtu</t>
  </si>
  <si>
    <t>Projected weather normalized 6 mo post-retrofit src MMBtu</t>
  </si>
  <si>
    <t>6 Mo only per household w/ projected 6 mos</t>
  </si>
  <si>
    <t>Weather normalized projected 12 mo src kbtu/cond s.f. using projected 6 mos</t>
  </si>
  <si>
    <t>Weather normalized projected 12 mo src kbtu/cond s.f. if using 2*6 mos</t>
  </si>
  <si>
    <t>Projected weather noramlized 6 mo post-retrofit site MMBtu</t>
  </si>
  <si>
    <t>Weather normalized projected 6 mo src MMBtu</t>
  </si>
  <si>
    <t>Weather normalized projected 6 mo site MMBtu</t>
  </si>
  <si>
    <t>Weather normalized projected 12 mo site kbtu/cond s.f. using projected 6 mos</t>
  </si>
  <si>
    <t>12 (or 6) months post-retrofit electricity site MMBtu</t>
  </si>
  <si>
    <t>12 (or 6) months post-retrofit gas or propanesite MMBtu</t>
  </si>
  <si>
    <t>12 (or 6)months pre-retrofit other source MMBtu</t>
  </si>
  <si>
    <t>6months post-retrofit electricity site MMBtu</t>
  </si>
  <si>
    <t>6months post-retrofit gas or propanesite MMBtu</t>
  </si>
  <si>
    <t>6 months post-retrofit electricity source MMBtu</t>
  </si>
  <si>
    <t>6 months post-retrofit natural gas or propane source MMBtu</t>
  </si>
  <si>
    <t>6 month post-retrofit on-site gen + used electricity</t>
  </si>
  <si>
    <t>6 months post-retrofit other source MMBtu</t>
  </si>
  <si>
    <t>6months post-retrofit others site MMBtu</t>
  </si>
  <si>
    <t>6 months post-retrofit electricity source adjusted for on-site gen + used source MMBtu</t>
  </si>
  <si>
    <t>Site Column</t>
  </si>
  <si>
    <t>Src Colum</t>
  </si>
  <si>
    <t>Src Column adjusted for PV</t>
  </si>
  <si>
    <t>source gas/propane</t>
  </si>
  <si>
    <t>generated electricity</t>
  </si>
  <si>
    <t xml:space="preserve"> electricity</t>
  </si>
  <si>
    <t>Changed to kbtu/cond s.f.</t>
  </si>
  <si>
    <t>6 mo source electricity from grid</t>
  </si>
  <si>
    <t>THIS USES THE PROJECTED 6 MONTHS</t>
  </si>
  <si>
    <t>Difference between 12 and 6 months heating cooling source kbtu/cond s.f.</t>
  </si>
  <si>
    <t>Difference between 12 and 6 month heating colling source kbtu/cond s.f.</t>
  </si>
  <si>
    <t>Difference between 12 &amp; 6 mo heating cooling source kbtu/cond s.f.</t>
  </si>
  <si>
    <t>Difference between 12 and 6 mo heating cooling source kbtu/cond s.f.</t>
  </si>
  <si>
    <t>6 mo grid + fossil fuels</t>
  </si>
  <si>
    <t>On-site electricity generation?</t>
  </si>
  <si>
    <t>6 months site electricity excluding on-site gen + used</t>
  </si>
  <si>
    <t>site natural gas</t>
  </si>
  <si>
    <t>site grid electricity in MMBtu</t>
  </si>
  <si>
    <t>site natural gas in MMBtu</t>
  </si>
  <si>
    <t>on-site gen + used in MMBtu</t>
  </si>
  <si>
    <t>source grid electricity in MMBtu</t>
  </si>
  <si>
    <t>source natural gas in MMBtu</t>
  </si>
  <si>
    <t xml:space="preserve">site grid electricity </t>
  </si>
  <si>
    <t>on-site generated electricity</t>
  </si>
  <si>
    <t xml:space="preserve">source grid electricity </t>
  </si>
  <si>
    <t>source natural gas used</t>
  </si>
  <si>
    <t>6 mo elec</t>
  </si>
  <si>
    <t>6 mo NG</t>
  </si>
  <si>
    <t>6 mo P</t>
  </si>
  <si>
    <t>12 mo Elec</t>
  </si>
  <si>
    <t>12 mo NG</t>
  </si>
  <si>
    <t>12 mo P</t>
  </si>
  <si>
    <t>Vented attic = 3; unvented attic with interior insulation =2; unvented attic with exterior insulation =1</t>
  </si>
  <si>
    <t xml:space="preserve">6 mo unvented </t>
  </si>
  <si>
    <t>6 mo unvented ext</t>
  </si>
  <si>
    <t>6 mo unvented int</t>
  </si>
  <si>
    <t>6 mo vented</t>
  </si>
  <si>
    <t xml:space="preserve">12 mo unvented </t>
  </si>
  <si>
    <t>12 mo unvented ext</t>
  </si>
  <si>
    <t>12 mo unvented int</t>
  </si>
  <si>
    <t>12 mo vented</t>
  </si>
  <si>
    <t>Difference between modeled pre-retrofit and real or projected 12 months</t>
  </si>
  <si>
    <t>Difference between actual pre retrofit and real or projected 12 months</t>
  </si>
  <si>
    <t>12 months source kbtu/cond s.f.</t>
  </si>
  <si>
    <t>12 (or 6) months post-retrofit other site MMBtu</t>
  </si>
  <si>
    <t>12 months site kbtu/cond s.f.</t>
  </si>
  <si>
    <t>6 months site H/C per household</t>
  </si>
  <si>
    <t>6 months source H/C per household</t>
  </si>
  <si>
    <t>Mean chainsaw</t>
  </si>
  <si>
    <t>Mean non-chainsaw</t>
  </si>
  <si>
    <t>Mean no slab</t>
  </si>
  <si>
    <t>Mean w slab</t>
  </si>
</sst>
</file>

<file path=xl/styles.xml><?xml version="1.0" encoding="utf-8"?>
<styleSheet xmlns="http://schemas.openxmlformats.org/spreadsheetml/2006/main">
  <numFmts count="3">
    <numFmt numFmtId="164" formatCode="0.0"/>
    <numFmt numFmtId="165" formatCode="@*."/>
    <numFmt numFmtId="166" formatCode="0.0%"/>
  </numFmts>
  <fonts count="11">
    <font>
      <sz val="11"/>
      <color theme="1"/>
      <name val="Calibri"/>
      <family val="2"/>
      <scheme val="minor"/>
    </font>
    <font>
      <sz val="11"/>
      <color theme="1"/>
      <name val="Calibri"/>
      <family val="2"/>
      <scheme val="minor"/>
    </font>
    <font>
      <sz val="11"/>
      <color indexed="8"/>
      <name val="Arial"/>
      <family val="2"/>
    </font>
    <font>
      <sz val="9"/>
      <color indexed="8"/>
      <name val="Arial"/>
      <family val="2"/>
    </font>
    <font>
      <sz val="11"/>
      <color indexed="19"/>
      <name val="Calibri"/>
      <family val="2"/>
    </font>
    <font>
      <b/>
      <sz val="8"/>
      <name val="Arial"/>
      <family val="2"/>
    </font>
    <font>
      <vertAlign val="superscript"/>
      <sz val="10"/>
      <name val="Arial"/>
      <family val="2"/>
    </font>
    <font>
      <sz val="8"/>
      <name val="Arial"/>
      <family val="2"/>
    </font>
    <font>
      <b/>
      <sz val="12"/>
      <name val="Arial"/>
      <family val="2"/>
    </font>
    <font>
      <b/>
      <vertAlign val="superscript"/>
      <sz val="10"/>
      <name val="Arial"/>
      <family val="2"/>
    </font>
    <font>
      <sz val="11"/>
      <name val="Calibri"/>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55"/>
        <bgColor indexed="64"/>
      </patternFill>
    </fill>
    <fill>
      <patternFill patternType="solid">
        <fgColor rgb="FFC0C0C0"/>
        <bgColor indexed="64"/>
      </patternFill>
    </fill>
    <fill>
      <patternFill patternType="solid">
        <fgColor theme="0"/>
        <bgColor indexed="64"/>
      </patternFill>
    </fill>
  </fills>
  <borders count="37">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hair">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s>
  <cellStyleXfs count="2">
    <xf numFmtId="0" fontId="0" fillId="0" borderId="0"/>
    <xf numFmtId="0" fontId="1" fillId="0" borderId="0"/>
  </cellStyleXfs>
  <cellXfs count="123">
    <xf numFmtId="0" fontId="0" fillId="0" borderId="0" xfId="0"/>
    <xf numFmtId="0" fontId="2" fillId="0" borderId="1" xfId="0" applyFont="1" applyBorder="1" applyAlignment="1">
      <alignment horizontal="center" wrapText="1"/>
    </xf>
    <xf numFmtId="0" fontId="2" fillId="0" borderId="0"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0" xfId="0" applyFont="1" applyFill="1" applyBorder="1" applyAlignment="1">
      <alignment horizontal="center" wrapText="1"/>
    </xf>
    <xf numFmtId="0" fontId="2" fillId="2" borderId="7" xfId="0" applyFont="1" applyFill="1" applyBorder="1" applyAlignment="1">
      <alignment horizontal="centerContinuous" vertical="center" wrapText="1"/>
    </xf>
    <xf numFmtId="0" fontId="0" fillId="0" borderId="0" xfId="0" applyAlignment="1">
      <alignment vertical="center"/>
    </xf>
    <xf numFmtId="0" fontId="0" fillId="2" borderId="10" xfId="0" applyFill="1" applyBorder="1" applyAlignment="1">
      <alignment horizontal="center" vertical="center" wrapText="1"/>
    </xf>
    <xf numFmtId="3" fontId="1" fillId="3" borderId="11" xfId="1" applyNumberFormat="1" applyFill="1" applyBorder="1" applyAlignment="1">
      <alignment horizontal="center" vertical="center" wrapText="1"/>
    </xf>
    <xf numFmtId="0" fontId="0" fillId="2" borderId="0" xfId="0" applyFill="1" applyBorder="1" applyAlignment="1" applyProtection="1">
      <alignment horizontal="center" vertical="center" wrapText="1"/>
      <protection locked="0"/>
    </xf>
    <xf numFmtId="2" fontId="1" fillId="4" borderId="0" xfId="1" applyNumberFormat="1" applyFill="1" applyBorder="1" applyAlignment="1" applyProtection="1">
      <alignment horizontal="center" vertical="center" wrapText="1"/>
      <protection locked="0"/>
    </xf>
    <xf numFmtId="2" fontId="1" fillId="4" borderId="13" xfId="1" applyNumberFormat="1" applyFill="1" applyBorder="1" applyAlignment="1" applyProtection="1">
      <alignment horizontal="center" vertical="center" wrapText="1"/>
      <protection locked="0"/>
    </xf>
    <xf numFmtId="0" fontId="0" fillId="0" borderId="10" xfId="0" applyBorder="1" applyProtection="1">
      <protection locked="0"/>
    </xf>
    <xf numFmtId="0" fontId="0" fillId="2" borderId="14" xfId="0" applyFill="1" applyBorder="1" applyAlignment="1">
      <alignment horizontal="center" vertical="center" wrapText="1"/>
    </xf>
    <xf numFmtId="3" fontId="1" fillId="3" borderId="0" xfId="1" applyNumberFormat="1" applyFill="1" applyBorder="1" applyAlignment="1">
      <alignment horizontal="center" vertical="center" wrapText="1"/>
    </xf>
    <xf numFmtId="0" fontId="1" fillId="4" borderId="12" xfId="1" applyFill="1" applyBorder="1" applyAlignment="1" applyProtection="1">
      <alignment horizontal="center" vertical="center" wrapText="1"/>
      <protection locked="0"/>
    </xf>
    <xf numFmtId="164" fontId="1" fillId="4" borderId="12" xfId="1" applyNumberFormat="1" applyFill="1" applyBorder="1" applyAlignment="1" applyProtection="1">
      <alignment horizontal="center" vertical="center"/>
      <protection locked="0"/>
    </xf>
    <xf numFmtId="2" fontId="0" fillId="2" borderId="15" xfId="0" applyNumberFormat="1" applyFill="1" applyBorder="1" applyAlignment="1" applyProtection="1">
      <alignment horizontal="center" vertical="center" wrapText="1"/>
      <protection locked="0"/>
    </xf>
    <xf numFmtId="2" fontId="0" fillId="2" borderId="10" xfId="0" applyNumberFormat="1" applyFill="1" applyBorder="1" applyAlignment="1" applyProtection="1">
      <alignment horizontal="center" vertical="center" wrapText="1"/>
      <protection locked="0"/>
    </xf>
    <xf numFmtId="2" fontId="0" fillId="2" borderId="16" xfId="0" applyNumberFormat="1" applyFill="1" applyBorder="1" applyAlignment="1" applyProtection="1">
      <alignment horizontal="center" vertical="center" wrapText="1"/>
      <protection locked="0"/>
    </xf>
    <xf numFmtId="2" fontId="0" fillId="2" borderId="18" xfId="0" applyNumberFormat="1" applyFill="1" applyBorder="1" applyAlignment="1" applyProtection="1">
      <alignment horizontal="center" vertical="center" wrapText="1"/>
      <protection locked="0"/>
    </xf>
    <xf numFmtId="2" fontId="0" fillId="2" borderId="17" xfId="0" applyNumberFormat="1" applyFill="1" applyBorder="1" applyAlignment="1" applyProtection="1">
      <alignment horizontal="center" vertical="center" wrapText="1"/>
      <protection locked="0"/>
    </xf>
    <xf numFmtId="0" fontId="0" fillId="0" borderId="10" xfId="0" applyBorder="1" applyAlignment="1" applyProtection="1">
      <alignment wrapText="1"/>
      <protection locked="0"/>
    </xf>
    <xf numFmtId="2" fontId="0" fillId="2" borderId="15" xfId="0" applyNumberFormat="1" applyFill="1" applyBorder="1" applyAlignment="1" applyProtection="1">
      <alignment horizontal="right" vertical="center" wrapText="1"/>
      <protection locked="0"/>
    </xf>
    <xf numFmtId="2" fontId="0" fillId="2" borderId="12" xfId="0" applyNumberFormat="1" applyFill="1" applyBorder="1" applyAlignment="1" applyProtection="1">
      <alignment horizontal="center" vertical="center" wrapText="1"/>
      <protection locked="0"/>
    </xf>
    <xf numFmtId="2" fontId="0" fillId="2" borderId="13" xfId="0" applyNumberFormat="1" applyFill="1" applyBorder="1" applyAlignment="1" applyProtection="1">
      <alignment horizontal="center" vertical="center" wrapText="1"/>
      <protection locked="0"/>
    </xf>
    <xf numFmtId="2" fontId="0" fillId="2" borderId="0" xfId="0" applyNumberFormat="1" applyFill="1" applyBorder="1" applyAlignment="1" applyProtection="1">
      <alignment horizontal="center" vertical="center" wrapText="1"/>
      <protection locked="0"/>
    </xf>
    <xf numFmtId="0" fontId="0" fillId="0" borderId="0" xfId="0" applyBorder="1" applyProtection="1">
      <protection locked="0"/>
    </xf>
    <xf numFmtId="0" fontId="0" fillId="0" borderId="0" xfId="0" applyBorder="1" applyAlignment="1" applyProtection="1">
      <alignment wrapText="1"/>
      <protection locked="0"/>
    </xf>
    <xf numFmtId="0" fontId="0" fillId="0" borderId="0" xfId="1" applyFont="1" applyBorder="1" applyAlignment="1" applyProtection="1">
      <alignment wrapText="1"/>
      <protection locked="0"/>
    </xf>
    <xf numFmtId="2" fontId="4" fillId="4" borderId="12" xfId="1" applyNumberFormat="1" applyFont="1" applyFill="1" applyBorder="1" applyAlignment="1" applyProtection="1">
      <alignment horizontal="center" vertical="center"/>
      <protection locked="0"/>
    </xf>
    <xf numFmtId="164" fontId="0" fillId="0" borderId="0" xfId="0" applyNumberFormat="1"/>
    <xf numFmtId="2" fontId="0" fillId="2" borderId="13" xfId="0" applyNumberFormat="1" applyFill="1" applyBorder="1" applyAlignment="1" applyProtection="1">
      <alignment horizontal="right" vertical="center" wrapText="1"/>
      <protection locked="0"/>
    </xf>
    <xf numFmtId="2" fontId="0" fillId="0" borderId="0" xfId="0" applyNumberFormat="1"/>
    <xf numFmtId="3" fontId="0" fillId="0" borderId="0" xfId="0" applyNumberFormat="1"/>
    <xf numFmtId="0" fontId="0" fillId="0" borderId="0" xfId="0" applyFill="1" applyBorder="1" applyAlignment="1">
      <alignment horizontal="center" vertical="center" wrapText="1"/>
    </xf>
    <xf numFmtId="0" fontId="0" fillId="0" borderId="10" xfId="0" applyFill="1" applyBorder="1" applyAlignment="1">
      <alignment horizontal="center" vertical="center" wrapText="1"/>
    </xf>
    <xf numFmtId="17" fontId="0" fillId="0" borderId="9" xfId="0" applyNumberFormat="1" applyFill="1" applyBorder="1" applyAlignment="1">
      <alignment horizontal="centerContinuous" vertical="center" wrapText="1"/>
    </xf>
    <xf numFmtId="2" fontId="1" fillId="0" borderId="0" xfId="1" applyNumberFormat="1" applyFill="1" applyBorder="1" applyAlignment="1" applyProtection="1">
      <alignment horizontal="center" wrapText="1"/>
      <protection locked="0"/>
    </xf>
    <xf numFmtId="2" fontId="0" fillId="0" borderId="0" xfId="0" applyNumberFormat="1" applyFill="1" applyBorder="1" applyAlignment="1" applyProtection="1">
      <alignment horizontal="center" wrapText="1"/>
      <protection locked="0"/>
    </xf>
    <xf numFmtId="2" fontId="0" fillId="0" borderId="18" xfId="0" applyNumberFormat="1" applyFill="1" applyBorder="1" applyAlignment="1" applyProtection="1">
      <alignment horizontal="center" wrapText="1"/>
      <protection locked="0"/>
    </xf>
    <xf numFmtId="2" fontId="0" fillId="0" borderId="10" xfId="0" applyNumberFormat="1" applyFill="1" applyBorder="1" applyAlignment="1" applyProtection="1">
      <alignment horizontal="center" wrapText="1"/>
      <protection locked="0"/>
    </xf>
    <xf numFmtId="2" fontId="1" fillId="5" borderId="0" xfId="1" applyNumberFormat="1" applyFill="1" applyBorder="1" applyAlignment="1" applyProtection="1">
      <alignment horizontal="center" vertical="center" wrapText="1"/>
      <protection locked="0"/>
    </xf>
    <xf numFmtId="2" fontId="0" fillId="2" borderId="10" xfId="0" applyNumberFormat="1" applyFill="1" applyBorder="1" applyAlignment="1">
      <alignment horizontal="center" vertical="center" wrapText="1"/>
    </xf>
    <xf numFmtId="2" fontId="0" fillId="0" borderId="10" xfId="0" applyNumberFormat="1" applyFill="1" applyBorder="1" applyAlignment="1">
      <alignment horizontal="center" vertical="center" wrapText="1"/>
    </xf>
    <xf numFmtId="0" fontId="2" fillId="0" borderId="7" xfId="0" applyFont="1" applyFill="1" applyBorder="1" applyAlignment="1">
      <alignment horizontal="left" vertical="center" wrapText="1"/>
    </xf>
    <xf numFmtId="0" fontId="0" fillId="0" borderId="7" xfId="0" applyFill="1" applyBorder="1" applyAlignment="1">
      <alignment horizontal="centerContinuous" vertical="center" wrapText="1"/>
    </xf>
    <xf numFmtId="0" fontId="0" fillId="0" borderId="8" xfId="0" applyFill="1" applyBorder="1" applyAlignment="1">
      <alignment horizontal="centerContinuous" vertical="center" wrapText="1"/>
    </xf>
    <xf numFmtId="0" fontId="0" fillId="0" borderId="9" xfId="0" applyFill="1" applyBorder="1" applyAlignment="1">
      <alignment horizontal="centerContinuous" vertical="center" wrapText="1"/>
    </xf>
    <xf numFmtId="17" fontId="0" fillId="0" borderId="7" xfId="0" applyNumberFormat="1" applyFill="1" applyBorder="1" applyAlignment="1">
      <alignment horizontal="centerContinuous" vertical="center" wrapText="1"/>
    </xf>
    <xf numFmtId="17" fontId="0" fillId="0" borderId="8" xfId="0" applyNumberFormat="1" applyFill="1" applyBorder="1" applyAlignment="1">
      <alignment horizontal="centerContinuous" vertical="center" wrapText="1"/>
    </xf>
    <xf numFmtId="0" fontId="0" fillId="0" borderId="0" xfId="0" applyAlignment="1">
      <alignment wrapText="1"/>
    </xf>
    <xf numFmtId="0" fontId="0" fillId="0" borderId="0" xfId="0" applyAlignment="1">
      <alignment vertical="center" wrapText="1"/>
    </xf>
    <xf numFmtId="17" fontId="0" fillId="0" borderId="0" xfId="0" applyNumberFormat="1" applyFill="1" applyBorder="1" applyAlignment="1">
      <alignment horizontal="centerContinuous" vertical="center" wrapText="1"/>
    </xf>
    <xf numFmtId="0" fontId="0" fillId="2" borderId="0" xfId="0" applyFill="1" applyBorder="1" applyAlignment="1">
      <alignment horizontal="center" vertical="center" wrapText="1"/>
    </xf>
    <xf numFmtId="2" fontId="0" fillId="0" borderId="0" xfId="0" applyNumberFormat="1" applyFill="1" applyBorder="1" applyAlignment="1">
      <alignment horizontal="center" vertical="center" wrapText="1"/>
    </xf>
    <xf numFmtId="49" fontId="0" fillId="0" borderId="0" xfId="0" applyNumberFormat="1"/>
    <xf numFmtId="49" fontId="0" fillId="0" borderId="0" xfId="0" applyNumberFormat="1" applyAlignment="1">
      <alignment vertical="center"/>
    </xf>
    <xf numFmtId="164" fontId="7" fillId="0" borderId="0" xfId="0" applyNumberFormat="1" applyFont="1" applyAlignment="1">
      <alignment horizontal="center" wrapText="1"/>
    </xf>
    <xf numFmtId="164" fontId="7" fillId="0" borderId="0" xfId="0" applyNumberFormat="1" applyFont="1" applyAlignment="1">
      <alignment horizontal="right" indent="1"/>
    </xf>
    <xf numFmtId="2" fontId="7" fillId="0" borderId="0" xfId="0" applyNumberFormat="1" applyFont="1" applyAlignment="1">
      <alignment horizontal="right" indent="1"/>
    </xf>
    <xf numFmtId="2" fontId="7" fillId="0" borderId="25" xfId="0" applyNumberFormat="1" applyFont="1" applyBorder="1" applyAlignment="1">
      <alignment horizontal="right" indent="1"/>
    </xf>
    <xf numFmtId="2" fontId="7" fillId="0" borderId="0" xfId="0" applyNumberFormat="1" applyFont="1" applyAlignment="1">
      <alignment horizontal="center" wrapText="1"/>
    </xf>
    <xf numFmtId="164" fontId="7" fillId="0" borderId="26" xfId="0" applyNumberFormat="1" applyFont="1" applyBorder="1" applyAlignment="1">
      <alignment horizontal="center" wrapText="1"/>
    </xf>
    <xf numFmtId="0" fontId="8" fillId="0" borderId="0" xfId="0" applyFont="1" applyAlignment="1">
      <alignment horizontal="left" vertical="center"/>
    </xf>
    <xf numFmtId="0" fontId="5" fillId="0" borderId="25" xfId="0" applyFont="1" applyBorder="1" applyAlignment="1">
      <alignment vertical="center" wrapText="1"/>
    </xf>
    <xf numFmtId="165" fontId="5" fillId="0" borderId="0" xfId="0" applyNumberFormat="1" applyFont="1"/>
    <xf numFmtId="164" fontId="7" fillId="0" borderId="25" xfId="0" applyNumberFormat="1" applyFont="1" applyBorder="1" applyAlignment="1">
      <alignment horizontal="right" indent="1"/>
    </xf>
    <xf numFmtId="0" fontId="8" fillId="0" borderId="28" xfId="0" applyFont="1" applyBorder="1" applyAlignment="1">
      <alignment vertical="center"/>
    </xf>
    <xf numFmtId="9" fontId="0" fillId="0" borderId="0" xfId="0" applyNumberFormat="1"/>
    <xf numFmtId="10" fontId="0" fillId="0" borderId="0" xfId="0" applyNumberFormat="1"/>
    <xf numFmtId="0" fontId="0" fillId="0" borderId="10" xfId="0" applyNumberFormat="1" applyFill="1" applyBorder="1" applyAlignment="1">
      <alignment horizontal="center" vertical="center" wrapText="1"/>
    </xf>
    <xf numFmtId="0" fontId="0" fillId="0" borderId="0" xfId="0" applyBorder="1"/>
    <xf numFmtId="4" fontId="0" fillId="0" borderId="0" xfId="0" applyNumberFormat="1" applyBorder="1"/>
    <xf numFmtId="0" fontId="0" fillId="0" borderId="0" xfId="0" applyFill="1" applyBorder="1" applyProtection="1">
      <protection locked="0"/>
    </xf>
    <xf numFmtId="0" fontId="0" fillId="0" borderId="0" xfId="1" applyFont="1" applyFill="1" applyBorder="1" applyAlignment="1" applyProtection="1">
      <alignment wrapText="1"/>
      <protection locked="0"/>
    </xf>
    <xf numFmtId="0" fontId="0" fillId="0" borderId="0" xfId="0" applyFill="1" applyBorder="1" applyAlignment="1" applyProtection="1">
      <alignment wrapText="1"/>
      <protection locked="0"/>
    </xf>
    <xf numFmtId="1" fontId="0" fillId="0" borderId="0" xfId="0" applyNumberFormat="1"/>
    <xf numFmtId="1" fontId="0" fillId="0" borderId="10" xfId="0" applyNumberFormat="1" applyFill="1" applyBorder="1" applyAlignment="1">
      <alignment horizontal="center" vertical="center" wrapText="1"/>
    </xf>
    <xf numFmtId="1" fontId="0" fillId="0" borderId="0" xfId="0" applyNumberFormat="1" applyFill="1" applyBorder="1" applyAlignment="1">
      <alignment horizontal="center" vertical="center" wrapText="1"/>
    </xf>
    <xf numFmtId="164" fontId="0" fillId="2" borderId="10" xfId="0" applyNumberFormat="1" applyFill="1" applyBorder="1" applyAlignment="1">
      <alignment horizontal="center" vertical="center" wrapText="1"/>
    </xf>
    <xf numFmtId="164" fontId="0" fillId="0" borderId="0" xfId="0" applyNumberFormat="1" applyFill="1" applyBorder="1" applyAlignment="1">
      <alignment horizontal="center" vertical="center" wrapText="1"/>
    </xf>
    <xf numFmtId="166" fontId="0" fillId="0" borderId="0" xfId="0" applyNumberFormat="1"/>
    <xf numFmtId="2" fontId="0" fillId="6" borderId="29" xfId="0" applyNumberFormat="1" applyFill="1" applyBorder="1" applyAlignment="1">
      <alignment horizontal="center" vertical="center" wrapText="1"/>
    </xf>
    <xf numFmtId="2" fontId="0" fillId="6" borderId="30" xfId="0" applyNumberFormat="1" applyFill="1" applyBorder="1" applyAlignment="1">
      <alignment horizontal="center" vertical="center" wrapText="1"/>
    </xf>
    <xf numFmtId="0" fontId="0" fillId="0" borderId="31" xfId="0" applyBorder="1" applyAlignment="1"/>
    <xf numFmtId="0" fontId="0" fillId="0" borderId="32" xfId="0" applyBorder="1" applyAlignment="1"/>
    <xf numFmtId="0" fontId="0" fillId="0" borderId="29" xfId="0" applyBorder="1" applyAlignment="1"/>
    <xf numFmtId="0" fontId="0" fillId="0" borderId="33" xfId="0" applyBorder="1" applyAlignment="1"/>
    <xf numFmtId="2" fontId="0" fillId="6" borderId="29" xfId="0" applyNumberFormat="1" applyFill="1" applyBorder="1" applyAlignment="1">
      <alignment wrapText="1"/>
    </xf>
    <xf numFmtId="2" fontId="0" fillId="6" borderId="33" xfId="0" applyNumberFormat="1" applyFill="1" applyBorder="1" applyAlignment="1">
      <alignment wrapText="1"/>
    </xf>
    <xf numFmtId="0" fontId="0" fillId="0" borderId="34" xfId="0" applyBorder="1" applyAlignment="1"/>
    <xf numFmtId="0" fontId="0" fillId="0" borderId="35" xfId="0" applyBorder="1" applyAlignment="1"/>
    <xf numFmtId="1" fontId="0" fillId="0" borderId="0" xfId="0" applyNumberFormat="1" applyFill="1" applyAlignment="1">
      <alignment horizontal="center" vertical="center" wrapText="1"/>
    </xf>
    <xf numFmtId="0" fontId="0" fillId="0" borderId="10" xfId="0" applyBorder="1"/>
    <xf numFmtId="0" fontId="10" fillId="0" borderId="0" xfId="0" applyNumberFormat="1" applyFont="1" applyAlignment="1"/>
    <xf numFmtId="0" fontId="0" fillId="0" borderId="28" xfId="0" applyBorder="1"/>
    <xf numFmtId="2" fontId="0" fillId="6" borderId="36" xfId="0" applyNumberFormat="1" applyFill="1" applyBorder="1" applyAlignment="1">
      <alignment horizontal="center" vertical="center" wrapText="1"/>
    </xf>
    <xf numFmtId="2" fontId="0" fillId="6" borderId="0" xfId="0" applyNumberFormat="1" applyFill="1" applyBorder="1" applyAlignment="1">
      <alignment horizontal="center" vertical="center" wrapText="1"/>
    </xf>
    <xf numFmtId="164" fontId="5" fillId="0" borderId="21" xfId="0" applyNumberFormat="1" applyFont="1" applyBorder="1" applyAlignment="1">
      <alignment horizontal="center" vertical="center" wrapText="1"/>
    </xf>
    <xf numFmtId="164" fontId="5" fillId="0" borderId="23" xfId="0" applyNumberFormat="1" applyFont="1" applyBorder="1" applyAlignment="1">
      <alignment horizontal="center" vertical="center" wrapText="1"/>
    </xf>
    <xf numFmtId="0" fontId="5" fillId="0" borderId="25"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1"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164" fontId="5" fillId="0" borderId="20" xfId="0" applyNumberFormat="1" applyFont="1" applyBorder="1" applyAlignment="1">
      <alignment horizontal="center" vertical="center" wrapText="1"/>
    </xf>
    <xf numFmtId="164" fontId="5" fillId="0" borderId="11" xfId="0" applyNumberFormat="1" applyFont="1" applyBorder="1" applyAlignment="1">
      <alignment horizontal="center" vertical="center"/>
    </xf>
    <xf numFmtId="164" fontId="5" fillId="0" borderId="24" xfId="0" applyNumberFormat="1" applyFont="1" applyBorder="1" applyAlignment="1">
      <alignment horizontal="center" vertical="center"/>
    </xf>
    <xf numFmtId="164" fontId="5" fillId="0" borderId="28" xfId="0" applyNumberFormat="1" applyFont="1" applyBorder="1" applyAlignment="1">
      <alignment horizontal="center" vertical="center"/>
    </xf>
    <xf numFmtId="164" fontId="5" fillId="0" borderId="19" xfId="0" applyNumberFormat="1" applyFont="1" applyBorder="1" applyAlignment="1">
      <alignment horizontal="center" vertical="center" wrapText="1"/>
    </xf>
    <xf numFmtId="164" fontId="5" fillId="0" borderId="22" xfId="0" applyNumberFormat="1" applyFont="1" applyBorder="1" applyAlignment="1">
      <alignment horizontal="center" vertical="center" wrapText="1"/>
    </xf>
    <xf numFmtId="164" fontId="5" fillId="0" borderId="24" xfId="0" applyNumberFormat="1" applyFont="1" applyBorder="1" applyAlignment="1">
      <alignment horizontal="center" vertical="center" wrapText="1"/>
    </xf>
    <xf numFmtId="2" fontId="5" fillId="0" borderId="19" xfId="0" applyNumberFormat="1" applyFont="1" applyBorder="1" applyAlignment="1">
      <alignment horizontal="center" vertical="center" wrapText="1"/>
    </xf>
    <xf numFmtId="2" fontId="5" fillId="0" borderId="21" xfId="0" applyNumberFormat="1" applyFont="1" applyBorder="1" applyAlignment="1">
      <alignment horizontal="center" vertical="center" wrapText="1"/>
    </xf>
    <xf numFmtId="2" fontId="5" fillId="0" borderId="23" xfId="0" applyNumberFormat="1" applyFont="1" applyBorder="1" applyAlignment="1">
      <alignment horizontal="center" vertical="center" wrapText="1"/>
    </xf>
  </cellXfs>
  <cellStyles count="2">
    <cellStyle name="Normal" xfId="0" builtinId="0"/>
    <cellStyle name="Normal 3" xfId="1"/>
  </cellStyles>
  <dxfs count="0"/>
  <tableStyles count="0" defaultTableStyle="TableStyleMedium9" defaultPivotStyle="PivotStyleLight16"/>
  <colors>
    <mruColors>
      <color rgb="FFC0C0C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8.1078429747735714E-2"/>
          <c:y val="3.4905908867658472E-2"/>
          <c:w val="0.89553509085153349"/>
          <c:h val="0.59881893983053436"/>
        </c:manualLayout>
      </c:layout>
      <c:barChart>
        <c:barDir val="col"/>
        <c:grouping val="percentStacked"/>
        <c:ser>
          <c:idx val="1"/>
          <c:order val="0"/>
          <c:tx>
            <c:v>post-retrofit source energy use (as % of pre-retrofit source energy use) </c:v>
          </c:tx>
          <c:spPr>
            <a:ln>
              <a:solidFill>
                <a:srgbClr val="C00000"/>
              </a:solidFill>
            </a:ln>
          </c:spPr>
          <c:cat>
            <c:strRef>
              <c:f>'Pre - Post site -source MBtu'!$D$9:$D$21</c:f>
              <c:strCache>
                <c:ptCount val="13"/>
                <c:pt idx="0">
                  <c:v>Belchertown</c:v>
                </c:pt>
                <c:pt idx="1">
                  <c:v>Belmont</c:v>
                </c:pt>
                <c:pt idx="2">
                  <c:v>Millbury</c:v>
                </c:pt>
                <c:pt idx="3">
                  <c:v>Milton</c:v>
                </c:pt>
                <c:pt idx="4">
                  <c:v>Quincy</c:v>
                </c:pt>
                <c:pt idx="5">
                  <c:v>Arlington</c:v>
                </c:pt>
                <c:pt idx="6">
                  <c:v>Newton</c:v>
                </c:pt>
                <c:pt idx="7">
                  <c:v>Jamaica Plain</c:v>
                </c:pt>
                <c:pt idx="8">
                  <c:v>Northampton</c:v>
                </c:pt>
                <c:pt idx="9">
                  <c:v>Lancaster</c:v>
                </c:pt>
                <c:pt idx="10">
                  <c:v>Brookline</c:v>
                </c:pt>
                <c:pt idx="11">
                  <c:v>Westford</c:v>
                </c:pt>
                <c:pt idx="12">
                  <c:v>Gloucester</c:v>
                </c:pt>
              </c:strCache>
            </c:strRef>
          </c:cat>
          <c:val>
            <c:numRef>
              <c:f>'Pre - Post site -source MBtu'!$V$9:$V$21</c:f>
              <c:numCache>
                <c:formatCode>0.00</c:formatCode>
                <c:ptCount val="13"/>
                <c:pt idx="0">
                  <c:v>52.4</c:v>
                </c:pt>
                <c:pt idx="1">
                  <c:v>151.47999999999999</c:v>
                </c:pt>
                <c:pt idx="2">
                  <c:v>129.72999999999999</c:v>
                </c:pt>
                <c:pt idx="3">
                  <c:v>108.13</c:v>
                </c:pt>
                <c:pt idx="4">
                  <c:v>140.22</c:v>
                </c:pt>
                <c:pt idx="5">
                  <c:v>216.58</c:v>
                </c:pt>
                <c:pt idx="6">
                  <c:v>125.36</c:v>
                </c:pt>
                <c:pt idx="7">
                  <c:v>153.69999999999999</c:v>
                </c:pt>
                <c:pt idx="8">
                  <c:v>87.74</c:v>
                </c:pt>
                <c:pt idx="9">
                  <c:v>50.03</c:v>
                </c:pt>
                <c:pt idx="10">
                  <c:v>43.43</c:v>
                </c:pt>
                <c:pt idx="11">
                  <c:v>103.25</c:v>
                </c:pt>
                <c:pt idx="12">
                  <c:v>65.28</c:v>
                </c:pt>
              </c:numCache>
            </c:numRef>
          </c:val>
        </c:ser>
        <c:ser>
          <c:idx val="2"/>
          <c:order val="1"/>
          <c:tx>
            <c:v>projected post-retrofit source energy use (only 6 mos data available) (as % of pre-retrofit source energy use)</c:v>
          </c:tx>
          <c:spPr>
            <a:noFill/>
            <a:ln>
              <a:solidFill>
                <a:srgbClr val="C00000"/>
              </a:solidFill>
            </a:ln>
          </c:spPr>
          <c:cat>
            <c:strRef>
              <c:f>'Pre - Post site -source MBtu'!$D$9:$D$21</c:f>
              <c:strCache>
                <c:ptCount val="13"/>
                <c:pt idx="0">
                  <c:v>Belchertown</c:v>
                </c:pt>
                <c:pt idx="1">
                  <c:v>Belmont</c:v>
                </c:pt>
                <c:pt idx="2">
                  <c:v>Millbury</c:v>
                </c:pt>
                <c:pt idx="3">
                  <c:v>Milton</c:v>
                </c:pt>
                <c:pt idx="4">
                  <c:v>Quincy</c:v>
                </c:pt>
                <c:pt idx="5">
                  <c:v>Arlington</c:v>
                </c:pt>
                <c:pt idx="6">
                  <c:v>Newton</c:v>
                </c:pt>
                <c:pt idx="7">
                  <c:v>Jamaica Plain</c:v>
                </c:pt>
                <c:pt idx="8">
                  <c:v>Northampton</c:v>
                </c:pt>
                <c:pt idx="9">
                  <c:v>Lancaster</c:v>
                </c:pt>
                <c:pt idx="10">
                  <c:v>Brookline</c:v>
                </c:pt>
                <c:pt idx="11">
                  <c:v>Westford</c:v>
                </c:pt>
                <c:pt idx="12">
                  <c:v>Gloucester</c:v>
                </c:pt>
              </c:strCache>
            </c:strRef>
          </c:cat>
          <c:val>
            <c:numRef>
              <c:f>'Pre - Post site -source MBtu'!$W$9:$W$21</c:f>
              <c:numCache>
                <c:formatCode>General</c:formatCode>
                <c:ptCount val="13"/>
                <c:pt idx="0">
                  <c:v>0</c:v>
                </c:pt>
                <c:pt idx="1">
                  <c:v>0</c:v>
                </c:pt>
                <c:pt idx="2">
                  <c:v>0</c:v>
                </c:pt>
                <c:pt idx="3">
                  <c:v>0</c:v>
                </c:pt>
                <c:pt idx="4">
                  <c:v>0</c:v>
                </c:pt>
                <c:pt idx="5">
                  <c:v>0</c:v>
                </c:pt>
                <c:pt idx="6">
                  <c:v>0</c:v>
                </c:pt>
                <c:pt idx="7">
                  <c:v>0</c:v>
                </c:pt>
                <c:pt idx="8">
                  <c:v>0</c:v>
                </c:pt>
                <c:pt idx="9" formatCode="0.00">
                  <c:v>50.03</c:v>
                </c:pt>
                <c:pt idx="10" formatCode="0.00">
                  <c:v>43.43</c:v>
                </c:pt>
                <c:pt idx="11" formatCode="0.00">
                  <c:v>103.25</c:v>
                </c:pt>
                <c:pt idx="12" formatCode="0.00">
                  <c:v>65.28</c:v>
                </c:pt>
              </c:numCache>
            </c:numRef>
          </c:val>
        </c:ser>
        <c:ser>
          <c:idx val="0"/>
          <c:order val="2"/>
          <c:tx>
            <c:v>% reduction from actual pre-retrofit source energy use</c:v>
          </c:tx>
          <c:spPr>
            <a:solidFill>
              <a:schemeClr val="tx2">
                <a:lumMod val="40000"/>
                <a:lumOff val="60000"/>
              </a:schemeClr>
            </a:solidFill>
            <a:ln>
              <a:solidFill>
                <a:schemeClr val="accent1"/>
              </a:solidFill>
            </a:ln>
          </c:spPr>
          <c:dLbls>
            <c:dLbl>
              <c:idx val="0"/>
              <c:layout/>
              <c:tx>
                <c:rich>
                  <a:bodyPr/>
                  <a:lstStyle/>
                  <a:p>
                    <a:r>
                      <a:rPr lang="en-US"/>
                      <a:t>75%</a:t>
                    </a:r>
                  </a:p>
                </c:rich>
              </c:tx>
              <c:showVal val="1"/>
            </c:dLbl>
            <c:dLbl>
              <c:idx val="1"/>
              <c:layout>
                <c:manualLayout>
                  <c:x val="0"/>
                  <c:y val="-0.22636532154570091"/>
                </c:manualLayout>
              </c:layout>
              <c:tx>
                <c:rich>
                  <a:bodyPr/>
                  <a:lstStyle/>
                  <a:p>
                    <a:r>
                      <a:rPr lang="en-US"/>
                      <a:t>73%</a:t>
                    </a:r>
                  </a:p>
                </c:rich>
              </c:tx>
              <c:showVal val="1"/>
            </c:dLbl>
            <c:dLbl>
              <c:idx val="2"/>
              <c:layout/>
              <c:tx>
                <c:rich>
                  <a:bodyPr/>
                  <a:lstStyle/>
                  <a:p>
                    <a:r>
                      <a:rPr lang="en-US"/>
                      <a:t>31%</a:t>
                    </a:r>
                  </a:p>
                </c:rich>
              </c:tx>
              <c:showVal val="1"/>
            </c:dLbl>
            <c:dLbl>
              <c:idx val="3"/>
              <c:layout>
                <c:manualLayout>
                  <c:x val="-3.8977015402075965E-17"/>
                  <c:y val="-0.12261454917058805"/>
                </c:manualLayout>
              </c:layout>
              <c:tx>
                <c:rich>
                  <a:bodyPr/>
                  <a:lstStyle/>
                  <a:p>
                    <a:r>
                      <a:rPr lang="en-US"/>
                      <a:t>42%</a:t>
                    </a:r>
                  </a:p>
                </c:rich>
              </c:tx>
              <c:showVal val="1"/>
            </c:dLbl>
            <c:dLbl>
              <c:idx val="4"/>
              <c:layout>
                <c:manualLayout>
                  <c:x val="0"/>
                  <c:y val="-0.16663002836002982"/>
                </c:manualLayout>
              </c:layout>
              <c:tx>
                <c:rich>
                  <a:bodyPr/>
                  <a:lstStyle/>
                  <a:p>
                    <a:r>
                      <a:rPr lang="en-US"/>
                      <a:t>57%</a:t>
                    </a:r>
                  </a:p>
                </c:rich>
              </c:tx>
              <c:showVal val="1"/>
            </c:dLbl>
            <c:dLbl>
              <c:idx val="5"/>
              <c:layout>
                <c:manualLayout>
                  <c:x val="0"/>
                  <c:y val="-0.14776625156455483"/>
                </c:manualLayout>
              </c:layout>
              <c:tx>
                <c:rich>
                  <a:bodyPr/>
                  <a:lstStyle/>
                  <a:p>
                    <a:r>
                      <a:rPr lang="en-US"/>
                      <a:t>55%</a:t>
                    </a:r>
                  </a:p>
                </c:rich>
              </c:tx>
              <c:showVal val="1"/>
            </c:dLbl>
            <c:dLbl>
              <c:idx val="6"/>
              <c:layout/>
              <c:tx>
                <c:rich>
                  <a:bodyPr/>
                  <a:lstStyle/>
                  <a:p>
                    <a:r>
                      <a:rPr lang="en-US"/>
                      <a:t>42%</a:t>
                    </a:r>
                  </a:p>
                </c:rich>
              </c:tx>
              <c:showVal val="1"/>
            </c:dLbl>
            <c:dLbl>
              <c:idx val="7"/>
              <c:layout/>
              <c:tx>
                <c:rich>
                  <a:bodyPr/>
                  <a:lstStyle/>
                  <a:p>
                    <a:r>
                      <a:rPr lang="en-US"/>
                      <a:t>43%</a:t>
                    </a:r>
                  </a:p>
                </c:rich>
              </c:tx>
              <c:showVal val="1"/>
            </c:dLbl>
            <c:dLbl>
              <c:idx val="8"/>
              <c:layout/>
              <c:tx>
                <c:rich>
                  <a:bodyPr/>
                  <a:lstStyle/>
                  <a:p>
                    <a:r>
                      <a:rPr lang="en-US"/>
                      <a:t>49%</a:t>
                    </a:r>
                  </a:p>
                </c:rich>
              </c:tx>
              <c:showVal val="1"/>
            </c:dLbl>
            <c:dLbl>
              <c:idx val="9"/>
              <c:layout>
                <c:manualLayout>
                  <c:x val="0"/>
                  <c:y val="-0.11003869797360459"/>
                </c:manualLayout>
              </c:layout>
              <c:tx>
                <c:rich>
                  <a:bodyPr/>
                  <a:lstStyle/>
                  <a:p>
                    <a:r>
                      <a:rPr lang="en-US"/>
                      <a:t>40%</a:t>
                    </a:r>
                  </a:p>
                  <a:p>
                    <a:endParaRPr lang="en-US"/>
                  </a:p>
                </c:rich>
              </c:tx>
              <c:showVal val="1"/>
            </c:dLbl>
            <c:dLbl>
              <c:idx val="10"/>
              <c:layout/>
              <c:tx>
                <c:rich>
                  <a:bodyPr/>
                  <a:lstStyle/>
                  <a:p>
                    <a:r>
                      <a:rPr lang="en-US"/>
                      <a:t>27%</a:t>
                    </a:r>
                  </a:p>
                </c:rich>
              </c:tx>
              <c:showVal val="1"/>
            </c:dLbl>
            <c:dLbl>
              <c:idx val="11"/>
              <c:layout/>
              <c:tx>
                <c:rich>
                  <a:bodyPr/>
                  <a:lstStyle/>
                  <a:p>
                    <a:r>
                      <a:rPr lang="en-US"/>
                      <a:t>30%</a:t>
                    </a:r>
                  </a:p>
                </c:rich>
              </c:tx>
              <c:showVal val="1"/>
            </c:dLbl>
            <c:dLbl>
              <c:idx val="12"/>
              <c:layout/>
              <c:tx>
                <c:rich>
                  <a:bodyPr/>
                  <a:lstStyle/>
                  <a:p>
                    <a:r>
                      <a:rPr lang="en-US"/>
                      <a:t>35%</a:t>
                    </a:r>
                  </a:p>
                </c:rich>
              </c:tx>
              <c:showVal val="1"/>
            </c:dLbl>
            <c:numFmt formatCode="0.00%" sourceLinked="0"/>
            <c:showVal val="1"/>
          </c:dLbls>
          <c:cat>
            <c:strRef>
              <c:f>'Pre - Post site -source MBtu'!$D$9:$D$21</c:f>
              <c:strCache>
                <c:ptCount val="13"/>
                <c:pt idx="0">
                  <c:v>Belchertown</c:v>
                </c:pt>
                <c:pt idx="1">
                  <c:v>Belmont</c:v>
                </c:pt>
                <c:pt idx="2">
                  <c:v>Millbury</c:v>
                </c:pt>
                <c:pt idx="3">
                  <c:v>Milton</c:v>
                </c:pt>
                <c:pt idx="4">
                  <c:v>Quincy</c:v>
                </c:pt>
                <c:pt idx="5">
                  <c:v>Arlington</c:v>
                </c:pt>
                <c:pt idx="6">
                  <c:v>Newton</c:v>
                </c:pt>
                <c:pt idx="7">
                  <c:v>Jamaica Plain</c:v>
                </c:pt>
                <c:pt idx="8">
                  <c:v>Northampton</c:v>
                </c:pt>
                <c:pt idx="9">
                  <c:v>Lancaster</c:v>
                </c:pt>
                <c:pt idx="10">
                  <c:v>Brookline</c:v>
                </c:pt>
                <c:pt idx="11">
                  <c:v>Westford</c:v>
                </c:pt>
                <c:pt idx="12">
                  <c:v>Gloucester</c:v>
                </c:pt>
              </c:strCache>
            </c:strRef>
          </c:cat>
          <c:val>
            <c:numRef>
              <c:f>'Pre - Post site -source MBtu'!$X$9:$X$21</c:f>
              <c:numCache>
                <c:formatCode>0.00</c:formatCode>
                <c:ptCount val="13"/>
                <c:pt idx="0">
                  <c:v>158.47</c:v>
                </c:pt>
                <c:pt idx="1">
                  <c:v>0</c:v>
                </c:pt>
                <c:pt idx="2">
                  <c:v>58.320000000000022</c:v>
                </c:pt>
                <c:pt idx="3">
                  <c:v>0</c:v>
                </c:pt>
                <c:pt idx="4">
                  <c:v>0</c:v>
                </c:pt>
                <c:pt idx="5">
                  <c:v>0</c:v>
                </c:pt>
                <c:pt idx="6">
                  <c:v>89.660000000000011</c:v>
                </c:pt>
                <c:pt idx="7">
                  <c:v>114.75999999999999</c:v>
                </c:pt>
                <c:pt idx="8">
                  <c:v>84.780000000000015</c:v>
                </c:pt>
                <c:pt idx="9">
                  <c:v>0</c:v>
                </c:pt>
                <c:pt idx="10">
                  <c:v>31.510000000000005</c:v>
                </c:pt>
                <c:pt idx="11">
                  <c:v>89.170000000000016</c:v>
                </c:pt>
                <c:pt idx="12">
                  <c:v>70.329999999999984</c:v>
                </c:pt>
              </c:numCache>
            </c:numRef>
          </c:val>
        </c:ser>
        <c:ser>
          <c:idx val="3"/>
          <c:order val="3"/>
          <c:tx>
            <c:v>% reduction from modeled pre-retrofit source energy use</c:v>
          </c:tx>
          <c:spPr>
            <a:noFill/>
            <a:ln w="15875">
              <a:solidFill>
                <a:schemeClr val="accent1"/>
              </a:solidFill>
            </a:ln>
          </c:spPr>
          <c:val>
            <c:numRef>
              <c:f>'Pre - Post site -source MBtu'!$Y$9:$Y$21</c:f>
              <c:numCache>
                <c:formatCode>0.00</c:formatCode>
                <c:ptCount val="13"/>
                <c:pt idx="0">
                  <c:v>0</c:v>
                </c:pt>
                <c:pt idx="1">
                  <c:v>410.37</c:v>
                </c:pt>
                <c:pt idx="2">
                  <c:v>0</c:v>
                </c:pt>
                <c:pt idx="3">
                  <c:v>78.59</c:v>
                </c:pt>
                <c:pt idx="4">
                  <c:v>185.16</c:v>
                </c:pt>
                <c:pt idx="5">
                  <c:v>261.29999999999995</c:v>
                </c:pt>
                <c:pt idx="9">
                  <c:v>67.72999999999999</c:v>
                </c:pt>
              </c:numCache>
            </c:numRef>
          </c:val>
        </c:ser>
        <c:overlap val="100"/>
        <c:axId val="124641664"/>
        <c:axId val="126620416"/>
      </c:barChart>
      <c:catAx>
        <c:axId val="124641664"/>
        <c:scaling>
          <c:orientation val="minMax"/>
        </c:scaling>
        <c:axPos val="b"/>
        <c:tickLblPos val="nextTo"/>
        <c:crossAx val="126620416"/>
        <c:crosses val="autoZero"/>
        <c:auto val="1"/>
        <c:lblAlgn val="ctr"/>
        <c:lblOffset val="100"/>
      </c:catAx>
      <c:valAx>
        <c:axId val="126620416"/>
        <c:scaling>
          <c:orientation val="minMax"/>
        </c:scaling>
        <c:axPos val="l"/>
        <c:majorGridlines/>
        <c:minorGridlines/>
        <c:numFmt formatCode="0%" sourceLinked="1"/>
        <c:tickLblPos val="nextTo"/>
        <c:crossAx val="124641664"/>
        <c:crosses val="autoZero"/>
        <c:crossBetween val="between"/>
        <c:minorUnit val="0.05"/>
      </c:valAx>
    </c:plotArea>
    <c:legend>
      <c:legendPos val="b"/>
      <c:layout>
        <c:manualLayout>
          <c:xMode val="edge"/>
          <c:yMode val="edge"/>
          <c:x val="9.5859454792027246E-3"/>
          <c:y val="0.80263972822833263"/>
          <c:w val="0.98295398521847277"/>
          <c:h val="0.19736027177166773"/>
        </c:manualLayout>
      </c:layout>
    </c:legend>
    <c:plotVisOnly val="1"/>
  </c:chart>
  <c:printSettings>
    <c:headerFooter/>
    <c:pageMargins b="0.75000000000000633" l="0.70000000000000062" r="0.70000000000000062" t="0.7500000000000063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a:t>6 mo</a:t>
            </a:r>
            <a:r>
              <a:rPr lang="en-US" sz="1400" baseline="0"/>
              <a:t> source kBtu/sf vs source-site ratio</a:t>
            </a:r>
            <a:endParaRPr lang="en-US" sz="1400"/>
          </a:p>
        </c:rich>
      </c:tx>
      <c:layout/>
    </c:title>
    <c:plotArea>
      <c:layout>
        <c:manualLayout>
          <c:layoutTarget val="inner"/>
          <c:xMode val="edge"/>
          <c:yMode val="edge"/>
          <c:x val="0.15738793438812793"/>
          <c:y val="0.18399715660542684"/>
          <c:w val="0.73788420912676722"/>
          <c:h val="0.50094889180519164"/>
        </c:manualLayout>
      </c:layout>
      <c:scatterChart>
        <c:scatterStyle val="lineMarker"/>
        <c:ser>
          <c:idx val="0"/>
          <c:order val="0"/>
          <c:tx>
            <c:v>Source-site ratio vs 6 mo source kBtu/sf</c:v>
          </c:tx>
          <c:spPr>
            <a:ln w="28575">
              <a:noFill/>
            </a:ln>
          </c:spPr>
          <c:marker>
            <c:spPr>
              <a:solidFill>
                <a:schemeClr val="accent1"/>
              </a:solidFill>
            </c:spPr>
          </c:marker>
          <c:xVal>
            <c:numRef>
              <c:f>'Site and Src EUI (4)'!$W$9:$W$21</c:f>
              <c:numCache>
                <c:formatCode>0.00</c:formatCode>
                <c:ptCount val="13"/>
                <c:pt idx="0">
                  <c:v>1.476158940397351</c:v>
                </c:pt>
                <c:pt idx="1">
                  <c:v>2.3508594539939329</c:v>
                </c:pt>
                <c:pt idx="2">
                  <c:v>2.6741534208707671</c:v>
                </c:pt>
                <c:pt idx="3">
                  <c:v>3.3400646203554119</c:v>
                </c:pt>
                <c:pt idx="4">
                  <c:v>1.4999006951340614</c:v>
                </c:pt>
                <c:pt idx="5">
                  <c:v>1.9401151631477926</c:v>
                </c:pt>
                <c:pt idx="6">
                  <c:v>1.9562301447229087</c:v>
                </c:pt>
                <c:pt idx="7">
                  <c:v>2.064835659612787</c:v>
                </c:pt>
                <c:pt idx="8">
                  <c:v>2.9586077140169329</c:v>
                </c:pt>
                <c:pt idx="9">
                  <c:v>1.5488587731811698</c:v>
                </c:pt>
                <c:pt idx="10">
                  <c:v>1.822273208612778</c:v>
                </c:pt>
                <c:pt idx="11">
                  <c:v>3.3391304347826085</c:v>
                </c:pt>
                <c:pt idx="12">
                  <c:v>2.2475292003593887</c:v>
                </c:pt>
              </c:numCache>
            </c:numRef>
          </c:xVal>
          <c:yVal>
            <c:numRef>
              <c:f>'Site and Src EUI (4)'!$T$9:$T$21</c:f>
              <c:numCache>
                <c:formatCode>0.00</c:formatCode>
                <c:ptCount val="13"/>
                <c:pt idx="0">
                  <c:v>11.688515993707394</c:v>
                </c:pt>
                <c:pt idx="1">
                  <c:v>15.24256993006993</c:v>
                </c:pt>
                <c:pt idx="2">
                  <c:v>16.231124161073826</c:v>
                </c:pt>
                <c:pt idx="3">
                  <c:v>15.05278485620677</c:v>
                </c:pt>
                <c:pt idx="4">
                  <c:v>19.43886743886744</c:v>
                </c:pt>
                <c:pt idx="5">
                  <c:v>21.342905405405407</c:v>
                </c:pt>
                <c:pt idx="6">
                  <c:v>25.202364711232377</c:v>
                </c:pt>
                <c:pt idx="7">
                  <c:v>25.288116901020128</c:v>
                </c:pt>
                <c:pt idx="8">
                  <c:v>33.672376873661669</c:v>
                </c:pt>
                <c:pt idx="9">
                  <c:v>13.683049779458097</c:v>
                </c:pt>
                <c:pt idx="10">
                  <c:v>26.106194690265486</c:v>
                </c:pt>
                <c:pt idx="11">
                  <c:v>26.93069306930693</c:v>
                </c:pt>
                <c:pt idx="12">
                  <c:v>34.743055555555557</c:v>
                </c:pt>
              </c:numCache>
            </c:numRef>
          </c:yVal>
        </c:ser>
        <c:axId val="112774144"/>
        <c:axId val="103551360"/>
      </c:scatterChart>
      <c:valAx>
        <c:axId val="112774144"/>
        <c:scaling>
          <c:orientation val="minMax"/>
          <c:max val="3.5"/>
          <c:min val="1"/>
        </c:scaling>
        <c:axPos val="b"/>
        <c:numFmt formatCode="0.0" sourceLinked="0"/>
        <c:tickLblPos val="nextTo"/>
        <c:crossAx val="103551360"/>
        <c:crosses val="autoZero"/>
        <c:crossBetween val="midCat"/>
      </c:valAx>
      <c:valAx>
        <c:axId val="103551360"/>
        <c:scaling>
          <c:orientation val="minMax"/>
        </c:scaling>
        <c:axPos val="l"/>
        <c:majorGridlines/>
        <c:numFmt formatCode="0" sourceLinked="0"/>
        <c:tickLblPos val="nextTo"/>
        <c:crossAx val="112774144"/>
        <c:crosses val="autoZero"/>
        <c:crossBetween val="midCat"/>
      </c:valAx>
    </c:plotArea>
    <c:plotVisOnly val="1"/>
  </c:chart>
  <c:printSettings>
    <c:headerFooter/>
    <c:pageMargins b="0.75000000000000466" l="0.70000000000000062" r="0.70000000000000062" t="0.75000000000000466"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9.0207696172730042E-2"/>
          <c:y val="7.9432656017888126E-2"/>
          <c:w val="0.87797213755110226"/>
          <c:h val="0.63517788140891329"/>
        </c:manualLayout>
      </c:layout>
      <c:barChart>
        <c:barDir val="col"/>
        <c:grouping val="stacked"/>
        <c:ser>
          <c:idx val="0"/>
          <c:order val="0"/>
          <c:tx>
            <c:strRef>
              <c:f>'Site and Src EUI (4)'!$Z$32</c:f>
              <c:strCache>
                <c:ptCount val="1"/>
                <c:pt idx="0">
                  <c:v>electricity</c:v>
                </c:pt>
              </c:strCache>
            </c:strRef>
          </c:tx>
          <c:spPr>
            <a:solidFill>
              <a:srgbClr val="FFFF00"/>
            </a:solidFill>
            <a:ln w="12700">
              <a:solidFill>
                <a:prstClr val="black"/>
              </a:solidFill>
              <a:prstDash val="dash"/>
            </a:ln>
          </c:spPr>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val>
            <c:numRef>
              <c:f>'Site and Src EUI (4)'!$Z$33:$Z$85</c:f>
              <c:numCache>
                <c:formatCode>General</c:formatCode>
                <c:ptCount val="53"/>
                <c:pt idx="1">
                  <c:v>3.3508127949659152</c:v>
                </c:pt>
                <c:pt idx="5">
                  <c:v>7.3798076923076925</c:v>
                </c:pt>
                <c:pt idx="9">
                  <c:v>8.1711409395973149</c:v>
                </c:pt>
                <c:pt idx="13">
                  <c:v>9.5631598107025848</c:v>
                </c:pt>
                <c:pt idx="17">
                  <c:v>5.4054054054054053</c:v>
                </c:pt>
                <c:pt idx="21">
                  <c:v>9.5819256756756754</c:v>
                </c:pt>
                <c:pt idx="25">
                  <c:v>11.123237835379719</c:v>
                </c:pt>
                <c:pt idx="29">
                  <c:v>13.358147229114971</c:v>
                </c:pt>
                <c:pt idx="33">
                  <c:v>19.362955032119913</c:v>
                </c:pt>
                <c:pt idx="37">
                  <c:v>1.9344675488342784</c:v>
                </c:pt>
                <c:pt idx="41">
                  <c:v>4.8445006321112514</c:v>
                </c:pt>
                <c:pt idx="45">
                  <c:v>8.0651815181518156</c:v>
                </c:pt>
                <c:pt idx="49">
                  <c:v>8.0972222222222214</c:v>
                </c:pt>
              </c:numCache>
            </c:numRef>
          </c:val>
        </c:ser>
        <c:ser>
          <c:idx val="1"/>
          <c:order val="1"/>
          <c:tx>
            <c:strRef>
              <c:f>'Site and Src EUI (4)'!$AA$32</c:f>
              <c:strCache>
                <c:ptCount val="1"/>
                <c:pt idx="0">
                  <c:v>gas/propane</c:v>
                </c:pt>
              </c:strCache>
            </c:strRef>
          </c:tx>
          <c:spPr>
            <a:solidFill>
              <a:schemeClr val="accent1">
                <a:lumMod val="60000"/>
                <a:lumOff val="40000"/>
              </a:schemeClr>
            </a:solidFill>
            <a:ln w="12700">
              <a:solidFill>
                <a:prstClr val="black"/>
              </a:solidFill>
              <a:prstDash val="dash"/>
            </a:ln>
          </c:spPr>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val>
            <c:numRef>
              <c:f>'Site and Src EUI (4)'!$AA$33:$AA$85</c:f>
              <c:numCache>
                <c:formatCode>General</c:formatCode>
                <c:ptCount val="53"/>
                <c:pt idx="1">
                  <c:v>16.119559517566859</c:v>
                </c:pt>
                <c:pt idx="5">
                  <c:v>5.7255244755244759</c:v>
                </c:pt>
                <c:pt idx="9">
                  <c:v>4.2785234899328861</c:v>
                </c:pt>
                <c:pt idx="13">
                  <c:v>0</c:v>
                </c:pt>
                <c:pt idx="17">
                  <c:v>20.54054054054054</c:v>
                </c:pt>
                <c:pt idx="21">
                  <c:v>13.048986486486486</c:v>
                </c:pt>
                <c:pt idx="25">
                  <c:v>18.963165075034105</c:v>
                </c:pt>
                <c:pt idx="29">
                  <c:v>14.419630548662807</c:v>
                </c:pt>
                <c:pt idx="33">
                  <c:v>3.2548179871520344</c:v>
                </c:pt>
                <c:pt idx="37">
                  <c:v>6.8998109640831755</c:v>
                </c:pt>
                <c:pt idx="41">
                  <c:v>9.4816687737041718</c:v>
                </c:pt>
                <c:pt idx="45">
                  <c:v>0</c:v>
                </c:pt>
                <c:pt idx="49">
                  <c:v>7.3611111111111107</c:v>
                </c:pt>
              </c:numCache>
            </c:numRef>
          </c:val>
        </c:ser>
        <c:ser>
          <c:idx val="2"/>
          <c:order val="2"/>
          <c:tx>
            <c:strRef>
              <c:f>'Site and Src EUI (4)'!$AB$32</c:f>
              <c:strCache>
                <c:ptCount val="1"/>
                <c:pt idx="0">
                  <c:v>other</c:v>
                </c:pt>
              </c:strCache>
            </c:strRef>
          </c:tx>
          <c:spPr>
            <a:solidFill>
              <a:schemeClr val="tx1">
                <a:lumMod val="50000"/>
                <a:lumOff val="50000"/>
              </a:schemeClr>
            </a:solidFill>
            <a:ln w="12700">
              <a:solidFill>
                <a:prstClr val="black"/>
              </a:solidFill>
              <a:prstDash val="dash"/>
            </a:ln>
          </c:spPr>
          <c:dPt>
            <c:idx val="45"/>
            <c:spPr>
              <a:solidFill>
                <a:schemeClr val="accent4">
                  <a:lumMod val="60000"/>
                  <a:lumOff val="40000"/>
                </a:schemeClr>
              </a:solidFill>
              <a:ln w="12700">
                <a:solidFill>
                  <a:prstClr val="black"/>
                </a:solidFill>
                <a:prstDash val="dash"/>
              </a:ln>
            </c:spPr>
          </c:dPt>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val>
            <c:numRef>
              <c:f>'Site and Src EUI (4)'!$AB$33:$AB$85</c:f>
              <c:numCache>
                <c:formatCode>General</c:formatCode>
                <c:ptCount val="53"/>
                <c:pt idx="1">
                  <c:v>0</c:v>
                </c:pt>
                <c:pt idx="5">
                  <c:v>0</c:v>
                </c:pt>
                <c:pt idx="9">
                  <c:v>0</c:v>
                </c:pt>
                <c:pt idx="13">
                  <c:v>0</c:v>
                </c:pt>
                <c:pt idx="17">
                  <c:v>0</c:v>
                </c:pt>
                <c:pt idx="21">
                  <c:v>0</c:v>
                </c:pt>
                <c:pt idx="25">
                  <c:v>0</c:v>
                </c:pt>
                <c:pt idx="29">
                  <c:v>0</c:v>
                </c:pt>
                <c:pt idx="33">
                  <c:v>1.4935760171306209</c:v>
                </c:pt>
                <c:pt idx="37">
                  <c:v>0</c:v>
                </c:pt>
                <c:pt idx="41">
                  <c:v>0</c:v>
                </c:pt>
                <c:pt idx="45">
                  <c:v>0</c:v>
                </c:pt>
                <c:pt idx="49">
                  <c:v>0</c:v>
                </c:pt>
              </c:numCache>
            </c:numRef>
          </c:val>
        </c:ser>
        <c:ser>
          <c:idx val="3"/>
          <c:order val="3"/>
          <c:tx>
            <c:strRef>
              <c:f>'Site and Src EUI (4)'!$AC$32</c:f>
              <c:strCache>
                <c:ptCount val="1"/>
                <c:pt idx="0">
                  <c:v>electricity</c:v>
                </c:pt>
              </c:strCache>
            </c:strRef>
          </c:tx>
          <c:spPr>
            <a:solidFill>
              <a:srgbClr val="FFFF00"/>
            </a:solidFill>
            <a:ln w="12700">
              <a:solidFill>
                <a:prstClr val="black"/>
              </a:solidFill>
            </a:ln>
          </c:spPr>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val>
            <c:numRef>
              <c:f>'Site and Src EUI (4)'!$AC$33:$AC$85</c:f>
              <c:numCache>
                <c:formatCode>General</c:formatCode>
                <c:ptCount val="53"/>
                <c:pt idx="2">
                  <c:v>11.19559517566859</c:v>
                </c:pt>
                <c:pt idx="6">
                  <c:v>24.648164335664337</c:v>
                </c:pt>
                <c:pt idx="10">
                  <c:v>27.290268456375838</c:v>
                </c:pt>
                <c:pt idx="14">
                  <c:v>31.940298507462686</c:v>
                </c:pt>
                <c:pt idx="18">
                  <c:v>18.054054054054053</c:v>
                </c:pt>
                <c:pt idx="22">
                  <c:v>32.001689189189186</c:v>
                </c:pt>
                <c:pt idx="26">
                  <c:v>37.153251477944522</c:v>
                </c:pt>
                <c:pt idx="30">
                  <c:v>44.618141714915907</c:v>
                </c:pt>
                <c:pt idx="34">
                  <c:v>64.668094218415419</c:v>
                </c:pt>
                <c:pt idx="38">
                  <c:v>6.4587271581600501</c:v>
                </c:pt>
                <c:pt idx="42">
                  <c:v>16.176991150442479</c:v>
                </c:pt>
                <c:pt idx="46">
                  <c:v>26.93069306930693</c:v>
                </c:pt>
                <c:pt idx="50">
                  <c:v>27.034722222222221</c:v>
                </c:pt>
              </c:numCache>
            </c:numRef>
          </c:val>
        </c:ser>
        <c:ser>
          <c:idx val="4"/>
          <c:order val="4"/>
          <c:tx>
            <c:strRef>
              <c:f>'Site and Src EUI (4)'!$AD$32</c:f>
              <c:strCache>
                <c:ptCount val="1"/>
                <c:pt idx="0">
                  <c:v>gas/propane</c:v>
                </c:pt>
              </c:strCache>
            </c:strRef>
          </c:tx>
          <c:spPr>
            <a:solidFill>
              <a:schemeClr val="accent1">
                <a:lumMod val="60000"/>
                <a:lumOff val="40000"/>
              </a:schemeClr>
            </a:solidFill>
            <a:ln w="12700">
              <a:solidFill>
                <a:prstClr val="black"/>
              </a:solidFill>
            </a:ln>
          </c:spPr>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val>
            <c:numRef>
              <c:f>'Site and Src EUI (4)'!$AD$33:$AD$85</c:f>
              <c:numCache>
                <c:formatCode>General</c:formatCode>
                <c:ptCount val="53"/>
                <c:pt idx="2">
                  <c:v>16.282118510749868</c:v>
                </c:pt>
                <c:pt idx="6">
                  <c:v>5.9943181818181817</c:v>
                </c:pt>
                <c:pt idx="10">
                  <c:v>4.4798657718120802</c:v>
                </c:pt>
                <c:pt idx="14">
                  <c:v>0</c:v>
                </c:pt>
                <c:pt idx="18">
                  <c:v>21.505791505791507</c:v>
                </c:pt>
                <c:pt idx="22">
                  <c:v>13.661317567567568</c:v>
                </c:pt>
                <c:pt idx="26">
                  <c:v>19.854479308776718</c:v>
                </c:pt>
                <c:pt idx="30">
                  <c:v>15.097877033360904</c:v>
                </c:pt>
                <c:pt idx="34">
                  <c:v>3.2869379014989293</c:v>
                </c:pt>
                <c:pt idx="38">
                  <c:v>7.2243226212980467</c:v>
                </c:pt>
                <c:pt idx="42">
                  <c:v>9.9266750948166873</c:v>
                </c:pt>
                <c:pt idx="46">
                  <c:v>0</c:v>
                </c:pt>
                <c:pt idx="50">
                  <c:v>7.708333333333333</c:v>
                </c:pt>
              </c:numCache>
            </c:numRef>
          </c:val>
        </c:ser>
        <c:ser>
          <c:idx val="5"/>
          <c:order val="5"/>
          <c:tx>
            <c:strRef>
              <c:f>'Site and Src EUI (4)'!$AE$32</c:f>
              <c:strCache>
                <c:ptCount val="1"/>
                <c:pt idx="0">
                  <c:v>other</c:v>
                </c:pt>
              </c:strCache>
            </c:strRef>
          </c:tx>
          <c:spPr>
            <a:solidFill>
              <a:schemeClr val="tx1">
                <a:lumMod val="50000"/>
                <a:lumOff val="50000"/>
              </a:schemeClr>
            </a:solidFill>
            <a:ln w="12700">
              <a:solidFill>
                <a:prstClr val="black"/>
              </a:solidFill>
            </a:ln>
          </c:spPr>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val>
            <c:numRef>
              <c:f>'Site and Src EUI (4)'!$AE$33:$AE$85</c:f>
              <c:numCache>
                <c:formatCode>General</c:formatCode>
                <c:ptCount val="53"/>
                <c:pt idx="2">
                  <c:v>0</c:v>
                </c:pt>
                <c:pt idx="6">
                  <c:v>0</c:v>
                </c:pt>
                <c:pt idx="10">
                  <c:v>0</c:v>
                </c:pt>
                <c:pt idx="14">
                  <c:v>0</c:v>
                </c:pt>
                <c:pt idx="18">
                  <c:v>0</c:v>
                </c:pt>
                <c:pt idx="22">
                  <c:v>0</c:v>
                </c:pt>
                <c:pt idx="26">
                  <c:v>0</c:v>
                </c:pt>
                <c:pt idx="30">
                  <c:v>0</c:v>
                </c:pt>
                <c:pt idx="34">
                  <c:v>1.4935760171306209</c:v>
                </c:pt>
                <c:pt idx="38">
                  <c:v>0</c:v>
                </c:pt>
                <c:pt idx="42">
                  <c:v>0</c:v>
                </c:pt>
                <c:pt idx="46">
                  <c:v>0</c:v>
                </c:pt>
                <c:pt idx="50">
                  <c:v>0</c:v>
                </c:pt>
              </c:numCache>
            </c:numRef>
          </c:val>
        </c:ser>
        <c:ser>
          <c:idx val="6"/>
          <c:order val="6"/>
          <c:tx>
            <c:strRef>
              <c:f>'Site and Src EUI (4)'!$AF$32</c:f>
              <c:strCache>
                <c:ptCount val="1"/>
              </c:strCache>
            </c:strRef>
          </c:tx>
          <c:spPr>
            <a:solidFill>
              <a:srgbClr val="FFFF00"/>
            </a:solidFill>
            <a:ln w="15875">
              <a:solidFill>
                <a:prstClr val="black"/>
              </a:solidFill>
              <a:prstDash val="sysDash"/>
            </a:ln>
          </c:spPr>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val>
            <c:numRef>
              <c:f>'Site and Src EUI (4)'!$AF$33:$AF$85</c:f>
              <c:numCache>
                <c:formatCode>General</c:formatCode>
                <c:ptCount val="53"/>
              </c:numCache>
            </c:numRef>
          </c:val>
        </c:ser>
        <c:ser>
          <c:idx val="9"/>
          <c:order val="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0"/>
          <c:order val="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1"/>
          <c:order val="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2"/>
          <c:order val="1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3"/>
          <c:order val="1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4"/>
          <c:order val="1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5"/>
          <c:order val="1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6"/>
          <c:order val="1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7"/>
          <c:order val="1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8"/>
          <c:order val="1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9"/>
          <c:order val="1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0"/>
          <c:order val="1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1"/>
          <c:order val="1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2"/>
          <c:order val="2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3"/>
          <c:order val="2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4"/>
          <c:order val="2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5"/>
          <c:order val="2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6"/>
          <c:order val="2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7"/>
          <c:order val="2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8"/>
          <c:order val="2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9"/>
          <c:order val="2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30"/>
          <c:order val="2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31"/>
          <c:order val="2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32"/>
          <c:order val="3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33"/>
          <c:order val="3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34"/>
          <c:order val="3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35"/>
          <c:order val="3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36"/>
          <c:order val="3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37"/>
          <c:order val="3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38"/>
          <c:order val="3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39"/>
          <c:order val="3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40"/>
          <c:order val="3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41"/>
          <c:order val="3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42"/>
          <c:order val="4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43"/>
          <c:order val="4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44"/>
          <c:order val="4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45"/>
          <c:order val="4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46"/>
          <c:order val="4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47"/>
          <c:order val="4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48"/>
          <c:order val="4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49"/>
          <c:order val="4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50"/>
          <c:order val="4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51"/>
          <c:order val="4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52"/>
          <c:order val="5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53"/>
          <c:order val="5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54"/>
          <c:order val="5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55"/>
          <c:order val="5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56"/>
          <c:order val="5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57"/>
          <c:order val="5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58"/>
          <c:order val="5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59"/>
          <c:order val="5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60"/>
          <c:order val="5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61"/>
          <c:order val="5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62"/>
          <c:order val="6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63"/>
          <c:order val="6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64"/>
          <c:order val="6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65"/>
          <c:order val="6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66"/>
          <c:order val="6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67"/>
          <c:order val="6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68"/>
          <c:order val="6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69"/>
          <c:order val="6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70"/>
          <c:order val="6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71"/>
          <c:order val="6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72"/>
          <c:order val="7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73"/>
          <c:order val="7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74"/>
          <c:order val="7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75"/>
          <c:order val="7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76"/>
          <c:order val="7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77"/>
          <c:order val="7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78"/>
          <c:order val="7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79"/>
          <c:order val="7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80"/>
          <c:order val="7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81"/>
          <c:order val="7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82"/>
          <c:order val="8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83"/>
          <c:order val="8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84"/>
          <c:order val="8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85"/>
          <c:order val="8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86"/>
          <c:order val="8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87"/>
          <c:order val="8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88"/>
          <c:order val="8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89"/>
          <c:order val="8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90"/>
          <c:order val="8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91"/>
          <c:order val="8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92"/>
          <c:order val="9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93"/>
          <c:order val="9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94"/>
          <c:order val="9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95"/>
          <c:order val="9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96"/>
          <c:order val="9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97"/>
          <c:order val="9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98"/>
          <c:order val="9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99"/>
          <c:order val="9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00"/>
          <c:order val="9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01"/>
          <c:order val="9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02"/>
          <c:order val="10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03"/>
          <c:order val="10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04"/>
          <c:order val="10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05"/>
          <c:order val="10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06"/>
          <c:order val="10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07"/>
          <c:order val="10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08"/>
          <c:order val="10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09"/>
          <c:order val="10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10"/>
          <c:order val="10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11"/>
          <c:order val="10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12"/>
          <c:order val="11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13"/>
          <c:order val="11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14"/>
          <c:order val="11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15"/>
          <c:order val="11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16"/>
          <c:order val="11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17"/>
          <c:order val="11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18"/>
          <c:order val="11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19"/>
          <c:order val="11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20"/>
          <c:order val="11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21"/>
          <c:order val="11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22"/>
          <c:order val="12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23"/>
          <c:order val="12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24"/>
          <c:order val="12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25"/>
          <c:order val="12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26"/>
          <c:order val="12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27"/>
          <c:order val="12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28"/>
          <c:order val="12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29"/>
          <c:order val="12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30"/>
          <c:order val="12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31"/>
          <c:order val="12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32"/>
          <c:order val="13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33"/>
          <c:order val="13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34"/>
          <c:order val="13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35"/>
          <c:order val="13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36"/>
          <c:order val="13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37"/>
          <c:order val="13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38"/>
          <c:order val="13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39"/>
          <c:order val="13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40"/>
          <c:order val="13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41"/>
          <c:order val="13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42"/>
          <c:order val="14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43"/>
          <c:order val="14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44"/>
          <c:order val="14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45"/>
          <c:order val="14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46"/>
          <c:order val="14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47"/>
          <c:order val="14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48"/>
          <c:order val="14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49"/>
          <c:order val="14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50"/>
          <c:order val="14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51"/>
          <c:order val="14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52"/>
          <c:order val="15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53"/>
          <c:order val="15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54"/>
          <c:order val="15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55"/>
          <c:order val="15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56"/>
          <c:order val="15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57"/>
          <c:order val="15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58"/>
          <c:order val="15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59"/>
          <c:order val="15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60"/>
          <c:order val="15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61"/>
          <c:order val="15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62"/>
          <c:order val="16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63"/>
          <c:order val="16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64"/>
          <c:order val="16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65"/>
          <c:order val="16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66"/>
          <c:order val="16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67"/>
          <c:order val="16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68"/>
          <c:order val="16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69"/>
          <c:order val="16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70"/>
          <c:order val="16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71"/>
          <c:order val="16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72"/>
          <c:order val="17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73"/>
          <c:order val="17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74"/>
          <c:order val="17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75"/>
          <c:order val="17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76"/>
          <c:order val="17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77"/>
          <c:order val="17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78"/>
          <c:order val="17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79"/>
          <c:order val="17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80"/>
          <c:order val="17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81"/>
          <c:order val="17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82"/>
          <c:order val="18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83"/>
          <c:order val="18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84"/>
          <c:order val="18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85"/>
          <c:order val="18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86"/>
          <c:order val="18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87"/>
          <c:order val="18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88"/>
          <c:order val="18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89"/>
          <c:order val="18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90"/>
          <c:order val="18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91"/>
          <c:order val="18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92"/>
          <c:order val="19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93"/>
          <c:order val="19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94"/>
          <c:order val="19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95"/>
          <c:order val="19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96"/>
          <c:order val="19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97"/>
          <c:order val="19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98"/>
          <c:order val="19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199"/>
          <c:order val="19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00"/>
          <c:order val="19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01"/>
          <c:order val="19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02"/>
          <c:order val="20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03"/>
          <c:order val="20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04"/>
          <c:order val="20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05"/>
          <c:order val="20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06"/>
          <c:order val="20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07"/>
          <c:order val="20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08"/>
          <c:order val="20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09"/>
          <c:order val="20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10"/>
          <c:order val="20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11"/>
          <c:order val="20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12"/>
          <c:order val="21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13"/>
          <c:order val="21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14"/>
          <c:order val="21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15"/>
          <c:order val="21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16"/>
          <c:order val="21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17"/>
          <c:order val="21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18"/>
          <c:order val="21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19"/>
          <c:order val="21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20"/>
          <c:order val="21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21"/>
          <c:order val="21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22"/>
          <c:order val="22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23"/>
          <c:order val="22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24"/>
          <c:order val="22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25"/>
          <c:order val="22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26"/>
          <c:order val="22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27"/>
          <c:order val="22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28"/>
          <c:order val="22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29"/>
          <c:order val="22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30"/>
          <c:order val="22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31"/>
          <c:order val="22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32"/>
          <c:order val="23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33"/>
          <c:order val="23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34"/>
          <c:order val="23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35"/>
          <c:order val="23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36"/>
          <c:order val="23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37"/>
          <c:order val="23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38"/>
          <c:order val="23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39"/>
          <c:order val="23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40"/>
          <c:order val="23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41"/>
          <c:order val="23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42"/>
          <c:order val="24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43"/>
          <c:order val="24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44"/>
          <c:order val="24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45"/>
          <c:order val="243"/>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46"/>
          <c:order val="244"/>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47"/>
          <c:order val="245"/>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48"/>
          <c:order val="246"/>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49"/>
          <c:order val="247"/>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50"/>
          <c:order val="248"/>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51"/>
          <c:order val="249"/>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52"/>
          <c:order val="250"/>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53"/>
          <c:order val="251"/>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ser>
          <c:idx val="254"/>
          <c:order val="252"/>
          <c:cat>
            <c:strRef>
              <c:f>'Site and Src EUI (4)'!$Y$33:$Y$86</c:f>
              <c:strCache>
                <c:ptCount val="50"/>
                <c:pt idx="1">
                  <c:v>Belchertown</c:v>
                </c:pt>
                <c:pt idx="5">
                  <c:v>Quincy</c:v>
                </c:pt>
                <c:pt idx="9">
                  <c:v>Belmont</c:v>
                </c:pt>
                <c:pt idx="13">
                  <c:v>Northampton</c:v>
                </c:pt>
                <c:pt idx="17">
                  <c:v>Jamaica Plain</c:v>
                </c:pt>
                <c:pt idx="21">
                  <c:v>Milton</c:v>
                </c:pt>
                <c:pt idx="25">
                  <c:v>Newton</c:v>
                </c:pt>
                <c:pt idx="29">
                  <c:v>Arlington</c:v>
                </c:pt>
                <c:pt idx="33">
                  <c:v>Millbury</c:v>
                </c:pt>
                <c:pt idx="37">
                  <c:v>Brookline</c:v>
                </c:pt>
                <c:pt idx="41">
                  <c:v>Westford</c:v>
                </c:pt>
                <c:pt idx="45">
                  <c:v>Gloucester</c:v>
                </c:pt>
                <c:pt idx="49">
                  <c:v>Lancaster</c:v>
                </c:pt>
              </c:strCache>
            </c:strRef>
          </c:cat>
        </c:ser>
        <c:gapWidth val="0"/>
        <c:overlap val="100"/>
        <c:axId val="115688960"/>
        <c:axId val="115690496"/>
      </c:barChart>
      <c:catAx>
        <c:axId val="115688960"/>
        <c:scaling>
          <c:orientation val="minMax"/>
        </c:scaling>
        <c:axPos val="b"/>
        <c:tickLblPos val="nextTo"/>
        <c:crossAx val="115690496"/>
        <c:crosses val="autoZero"/>
        <c:auto val="1"/>
        <c:lblAlgn val="ctr"/>
        <c:lblOffset val="100"/>
      </c:catAx>
      <c:valAx>
        <c:axId val="115690496"/>
        <c:scaling>
          <c:orientation val="minMax"/>
          <c:max val="70"/>
        </c:scaling>
        <c:axPos val="l"/>
        <c:majorGridlines/>
        <c:numFmt formatCode="General" sourceLinked="1"/>
        <c:tickLblPos val="nextTo"/>
        <c:crossAx val="115688960"/>
        <c:crosses val="autoZero"/>
        <c:crossBetween val="between"/>
      </c:valAx>
    </c:plotArea>
    <c:plotVisOnly val="1"/>
  </c:chart>
  <c:printSettings>
    <c:headerFooter/>
    <c:pageMargins b="0.75000000000000233" l="0.70000000000000062" r="0.70000000000000062" t="0.75000000000000233"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1556922572178498"/>
          <c:y val="3.2823413702998884E-2"/>
          <c:w val="0.82613024934383261"/>
          <c:h val="0.70555258548266475"/>
        </c:manualLayout>
      </c:layout>
      <c:barChart>
        <c:barDir val="col"/>
        <c:grouping val="stacked"/>
        <c:ser>
          <c:idx val="0"/>
          <c:order val="0"/>
          <c:tx>
            <c:strRef>
              <c:f>'Total PV by Fuel Type'!$Y$27</c:f>
              <c:strCache>
                <c:ptCount val="1"/>
                <c:pt idx="0">
                  <c:v>site grid electricity </c:v>
                </c:pt>
              </c:strCache>
            </c:strRef>
          </c:tx>
          <c:spPr>
            <a:solidFill>
              <a:srgbClr val="FFFF00"/>
            </a:solidFill>
            <a:ln w="15875">
              <a:solidFill>
                <a:schemeClr val="tx1"/>
              </a:solidFill>
            </a:ln>
          </c:spPr>
          <c:cat>
            <c:strRef>
              <c:f>'Total PV by Fuel Type'!$X$28:$X$46</c:f>
              <c:strCache>
                <c:ptCount val="17"/>
                <c:pt idx="1">
                  <c:v>Northampton</c:v>
                </c:pt>
                <c:pt idx="4">
                  <c:v>Belmont</c:v>
                </c:pt>
                <c:pt idx="7">
                  <c:v>Quincy</c:v>
                </c:pt>
                <c:pt idx="10">
                  <c:v>Milton</c:v>
                </c:pt>
                <c:pt idx="13">
                  <c:v>Jamaica Plain</c:v>
                </c:pt>
                <c:pt idx="16">
                  <c:v>Lancaster</c:v>
                </c:pt>
              </c:strCache>
            </c:strRef>
          </c:cat>
          <c:val>
            <c:numRef>
              <c:f>'Total PV by Fuel Type'!$Y$28:$Y$46</c:f>
              <c:numCache>
                <c:formatCode>0</c:formatCode>
                <c:ptCount val="19"/>
                <c:pt idx="1">
                  <c:v>1.4700000000000006</c:v>
                </c:pt>
                <c:pt idx="4">
                  <c:v>7.8699999999999992</c:v>
                </c:pt>
                <c:pt idx="7">
                  <c:v>2.2500000000000018</c:v>
                </c:pt>
                <c:pt idx="10">
                  <c:v>2.95</c:v>
                </c:pt>
                <c:pt idx="13">
                  <c:v>5.0499999999999989</c:v>
                </c:pt>
                <c:pt idx="16">
                  <c:v>4.55</c:v>
                </c:pt>
              </c:numCache>
            </c:numRef>
          </c:val>
        </c:ser>
        <c:ser>
          <c:idx val="1"/>
          <c:order val="1"/>
          <c:tx>
            <c:strRef>
              <c:f>'Total PV by Fuel Type'!$Z$27</c:f>
              <c:strCache>
                <c:ptCount val="1"/>
                <c:pt idx="0">
                  <c:v>site natural gas</c:v>
                </c:pt>
              </c:strCache>
            </c:strRef>
          </c:tx>
          <c:spPr>
            <a:solidFill>
              <a:schemeClr val="accent1">
                <a:lumMod val="60000"/>
                <a:lumOff val="40000"/>
              </a:schemeClr>
            </a:solidFill>
            <a:ln w="15875">
              <a:solidFill>
                <a:prstClr val="black"/>
              </a:solidFill>
            </a:ln>
          </c:spPr>
          <c:val>
            <c:numRef>
              <c:f>'Total PV by Fuel Type'!$Z$28:$Z$46</c:f>
              <c:numCache>
                <c:formatCode>0</c:formatCode>
                <c:ptCount val="19"/>
                <c:pt idx="1">
                  <c:v>0</c:v>
                </c:pt>
                <c:pt idx="4">
                  <c:v>8.4</c:v>
                </c:pt>
                <c:pt idx="7">
                  <c:v>12.8</c:v>
                </c:pt>
                <c:pt idx="10">
                  <c:v>15.9</c:v>
                </c:pt>
                <c:pt idx="13">
                  <c:v>40.4</c:v>
                </c:pt>
                <c:pt idx="16">
                  <c:v>10.6</c:v>
                </c:pt>
              </c:numCache>
            </c:numRef>
          </c:val>
        </c:ser>
        <c:ser>
          <c:idx val="2"/>
          <c:order val="2"/>
          <c:tx>
            <c:strRef>
              <c:f>'Total PV by Fuel Type'!$AA$27</c:f>
              <c:strCache>
                <c:ptCount val="1"/>
                <c:pt idx="0">
                  <c:v>on-site generated electricity</c:v>
                </c:pt>
              </c:strCache>
            </c:strRef>
          </c:tx>
          <c:spPr>
            <a:solidFill>
              <a:srgbClr val="00B050"/>
            </a:solidFill>
            <a:ln w="15875">
              <a:solidFill>
                <a:schemeClr val="tx1"/>
              </a:solidFill>
            </a:ln>
          </c:spPr>
          <c:dLbls>
            <c:showVal val="1"/>
          </c:dLbls>
          <c:val>
            <c:numRef>
              <c:f>'Total PV by Fuel Type'!$AA$28:$AA$46</c:f>
              <c:numCache>
                <c:formatCode>0</c:formatCode>
                <c:ptCount val="19"/>
                <c:pt idx="1">
                  <c:v>10.91</c:v>
                </c:pt>
                <c:pt idx="4">
                  <c:v>12.67</c:v>
                </c:pt>
                <c:pt idx="7">
                  <c:v>14.62</c:v>
                </c:pt>
                <c:pt idx="10">
                  <c:v>7.2</c:v>
                </c:pt>
                <c:pt idx="13">
                  <c:v>4.9000000000000004</c:v>
                </c:pt>
                <c:pt idx="16">
                  <c:v>7.11</c:v>
                </c:pt>
              </c:numCache>
            </c:numRef>
          </c:val>
        </c:ser>
        <c:ser>
          <c:idx val="3"/>
          <c:order val="3"/>
          <c:tx>
            <c:strRef>
              <c:f>'Total PV by Fuel Type'!$AB$27</c:f>
              <c:strCache>
                <c:ptCount val="1"/>
                <c:pt idx="0">
                  <c:v>source grid electricity </c:v>
                </c:pt>
              </c:strCache>
            </c:strRef>
          </c:tx>
          <c:spPr>
            <a:solidFill>
              <a:srgbClr val="FFFF00"/>
            </a:solidFill>
            <a:ln w="15875">
              <a:solidFill>
                <a:srgbClr val="C00000"/>
              </a:solidFill>
            </a:ln>
          </c:spPr>
          <c:val>
            <c:numRef>
              <c:f>'Total PV by Fuel Type'!$AB$28:$AB$46</c:f>
              <c:numCache>
                <c:formatCode>General</c:formatCode>
                <c:ptCount val="19"/>
                <c:pt idx="2" formatCode="0">
                  <c:v>4.9000000000000004</c:v>
                </c:pt>
                <c:pt idx="5" formatCode="0">
                  <c:v>26.28</c:v>
                </c:pt>
                <c:pt idx="8" formatCode="0">
                  <c:v>7.51</c:v>
                </c:pt>
                <c:pt idx="11" formatCode="0">
                  <c:v>9.86</c:v>
                </c:pt>
                <c:pt idx="14" formatCode="0">
                  <c:v>16.86</c:v>
                </c:pt>
                <c:pt idx="17" formatCode="0">
                  <c:v>15.18</c:v>
                </c:pt>
              </c:numCache>
            </c:numRef>
          </c:val>
        </c:ser>
        <c:ser>
          <c:idx val="4"/>
          <c:order val="4"/>
          <c:tx>
            <c:strRef>
              <c:f>'Total PV by Fuel Type'!$AC$27</c:f>
              <c:strCache>
                <c:ptCount val="1"/>
                <c:pt idx="0">
                  <c:v>source natural gas used</c:v>
                </c:pt>
              </c:strCache>
            </c:strRef>
          </c:tx>
          <c:spPr>
            <a:solidFill>
              <a:schemeClr val="accent1">
                <a:lumMod val="60000"/>
                <a:lumOff val="40000"/>
              </a:schemeClr>
            </a:solidFill>
            <a:ln w="15875">
              <a:solidFill>
                <a:srgbClr val="C00000"/>
              </a:solidFill>
            </a:ln>
          </c:spPr>
          <c:val>
            <c:numRef>
              <c:f>'Total PV by Fuel Type'!$AC$28:$AC$46</c:f>
              <c:numCache>
                <c:formatCode>General</c:formatCode>
                <c:ptCount val="19"/>
                <c:pt idx="2" formatCode="0">
                  <c:v>0</c:v>
                </c:pt>
                <c:pt idx="5" formatCode="0">
                  <c:v>8.4</c:v>
                </c:pt>
                <c:pt idx="8" formatCode="0">
                  <c:v>12.8</c:v>
                </c:pt>
                <c:pt idx="11" formatCode="0">
                  <c:v>15.9</c:v>
                </c:pt>
                <c:pt idx="14" formatCode="0">
                  <c:v>40.4</c:v>
                </c:pt>
                <c:pt idx="17" formatCode="0">
                  <c:v>10.6</c:v>
                </c:pt>
              </c:numCache>
            </c:numRef>
          </c:val>
        </c:ser>
        <c:ser>
          <c:idx val="5"/>
          <c:order val="5"/>
          <c:tx>
            <c:strRef>
              <c:f>'Total PV by Fuel Type'!$AD$27</c:f>
              <c:strCache>
                <c:ptCount val="1"/>
                <c:pt idx="0">
                  <c:v>on-site generated electricity</c:v>
                </c:pt>
              </c:strCache>
            </c:strRef>
          </c:tx>
          <c:spPr>
            <a:solidFill>
              <a:srgbClr val="00B050"/>
            </a:solidFill>
            <a:ln w="15875">
              <a:solidFill>
                <a:prstClr val="black"/>
              </a:solidFill>
            </a:ln>
          </c:spPr>
          <c:dLbls>
            <c:showVal val="1"/>
          </c:dLbls>
          <c:val>
            <c:numRef>
              <c:f>'Total PV by Fuel Type'!$AD$28:$AD$46</c:f>
              <c:numCache>
                <c:formatCode>General</c:formatCode>
                <c:ptCount val="19"/>
                <c:pt idx="2" formatCode="0">
                  <c:v>10.91</c:v>
                </c:pt>
                <c:pt idx="5" formatCode="0">
                  <c:v>12.67</c:v>
                </c:pt>
                <c:pt idx="8" formatCode="0">
                  <c:v>14.62</c:v>
                </c:pt>
                <c:pt idx="11" formatCode="0">
                  <c:v>7.2</c:v>
                </c:pt>
                <c:pt idx="14" formatCode="0">
                  <c:v>4.9000000000000004</c:v>
                </c:pt>
                <c:pt idx="17" formatCode="0">
                  <c:v>7.11</c:v>
                </c:pt>
              </c:numCache>
            </c:numRef>
          </c:val>
        </c:ser>
        <c:ser>
          <c:idx val="6"/>
          <c:order val="6"/>
        </c:ser>
        <c:ser>
          <c:idx val="7"/>
          <c:order val="7"/>
        </c:ser>
        <c:ser>
          <c:idx val="8"/>
          <c:order val="8"/>
        </c:ser>
        <c:ser>
          <c:idx val="9"/>
          <c:order val="9"/>
        </c:ser>
        <c:ser>
          <c:idx val="10"/>
          <c:order val="10"/>
        </c:ser>
        <c:ser>
          <c:idx val="11"/>
          <c:order val="11"/>
        </c:ser>
        <c:ser>
          <c:idx val="12"/>
          <c:order val="12"/>
        </c:ser>
        <c:ser>
          <c:idx val="13"/>
          <c:order val="13"/>
        </c:ser>
        <c:ser>
          <c:idx val="14"/>
          <c:order val="14"/>
        </c:ser>
        <c:ser>
          <c:idx val="15"/>
          <c:order val="15"/>
        </c:ser>
        <c:ser>
          <c:idx val="16"/>
          <c:order val="16"/>
        </c:ser>
        <c:ser>
          <c:idx val="17"/>
          <c:order val="17"/>
        </c:ser>
        <c:ser>
          <c:idx val="18"/>
          <c:order val="18"/>
        </c:ser>
        <c:ser>
          <c:idx val="19"/>
          <c:order val="19"/>
        </c:ser>
        <c:ser>
          <c:idx val="20"/>
          <c:order val="20"/>
        </c:ser>
        <c:ser>
          <c:idx val="21"/>
          <c:order val="21"/>
        </c:ser>
        <c:ser>
          <c:idx val="22"/>
          <c:order val="22"/>
        </c:ser>
        <c:ser>
          <c:idx val="23"/>
          <c:order val="23"/>
        </c:ser>
        <c:ser>
          <c:idx val="24"/>
          <c:order val="24"/>
        </c:ser>
        <c:ser>
          <c:idx val="25"/>
          <c:order val="25"/>
        </c:ser>
        <c:ser>
          <c:idx val="26"/>
          <c:order val="26"/>
        </c:ser>
        <c:ser>
          <c:idx val="27"/>
          <c:order val="27"/>
        </c:ser>
        <c:ser>
          <c:idx val="28"/>
          <c:order val="28"/>
        </c:ser>
        <c:ser>
          <c:idx val="29"/>
          <c:order val="29"/>
        </c:ser>
        <c:ser>
          <c:idx val="30"/>
          <c:order val="30"/>
        </c:ser>
        <c:ser>
          <c:idx val="31"/>
          <c:order val="31"/>
        </c:ser>
        <c:ser>
          <c:idx val="32"/>
          <c:order val="32"/>
        </c:ser>
        <c:ser>
          <c:idx val="33"/>
          <c:order val="33"/>
        </c:ser>
        <c:ser>
          <c:idx val="34"/>
          <c:order val="34"/>
        </c:ser>
        <c:ser>
          <c:idx val="35"/>
          <c:order val="35"/>
        </c:ser>
        <c:ser>
          <c:idx val="36"/>
          <c:order val="36"/>
        </c:ser>
        <c:ser>
          <c:idx val="37"/>
          <c:order val="37"/>
        </c:ser>
        <c:ser>
          <c:idx val="38"/>
          <c:order val="38"/>
        </c:ser>
        <c:ser>
          <c:idx val="39"/>
          <c:order val="39"/>
        </c:ser>
        <c:ser>
          <c:idx val="40"/>
          <c:order val="40"/>
        </c:ser>
        <c:ser>
          <c:idx val="41"/>
          <c:order val="41"/>
        </c:ser>
        <c:ser>
          <c:idx val="42"/>
          <c:order val="42"/>
        </c:ser>
        <c:ser>
          <c:idx val="43"/>
          <c:order val="43"/>
        </c:ser>
        <c:ser>
          <c:idx val="44"/>
          <c:order val="44"/>
        </c:ser>
        <c:ser>
          <c:idx val="45"/>
          <c:order val="45"/>
        </c:ser>
        <c:ser>
          <c:idx val="46"/>
          <c:order val="46"/>
        </c:ser>
        <c:ser>
          <c:idx val="47"/>
          <c:order val="47"/>
        </c:ser>
        <c:ser>
          <c:idx val="48"/>
          <c:order val="48"/>
        </c:ser>
        <c:ser>
          <c:idx val="49"/>
          <c:order val="49"/>
        </c:ser>
        <c:ser>
          <c:idx val="50"/>
          <c:order val="50"/>
        </c:ser>
        <c:ser>
          <c:idx val="51"/>
          <c:order val="51"/>
        </c:ser>
        <c:ser>
          <c:idx val="52"/>
          <c:order val="52"/>
        </c:ser>
        <c:ser>
          <c:idx val="53"/>
          <c:order val="53"/>
        </c:ser>
        <c:ser>
          <c:idx val="54"/>
          <c:order val="54"/>
        </c:ser>
        <c:ser>
          <c:idx val="55"/>
          <c:order val="55"/>
        </c:ser>
        <c:ser>
          <c:idx val="56"/>
          <c:order val="56"/>
        </c:ser>
        <c:ser>
          <c:idx val="57"/>
          <c:order val="57"/>
        </c:ser>
        <c:ser>
          <c:idx val="58"/>
          <c:order val="58"/>
        </c:ser>
        <c:ser>
          <c:idx val="59"/>
          <c:order val="59"/>
        </c:ser>
        <c:ser>
          <c:idx val="60"/>
          <c:order val="60"/>
        </c:ser>
        <c:ser>
          <c:idx val="61"/>
          <c:order val="61"/>
        </c:ser>
        <c:ser>
          <c:idx val="62"/>
          <c:order val="62"/>
        </c:ser>
        <c:ser>
          <c:idx val="63"/>
          <c:order val="63"/>
        </c:ser>
        <c:ser>
          <c:idx val="64"/>
          <c:order val="64"/>
        </c:ser>
        <c:ser>
          <c:idx val="65"/>
          <c:order val="65"/>
        </c:ser>
        <c:ser>
          <c:idx val="66"/>
          <c:order val="66"/>
        </c:ser>
        <c:ser>
          <c:idx val="67"/>
          <c:order val="67"/>
        </c:ser>
        <c:ser>
          <c:idx val="68"/>
          <c:order val="68"/>
        </c:ser>
        <c:ser>
          <c:idx val="69"/>
          <c:order val="69"/>
        </c:ser>
        <c:ser>
          <c:idx val="70"/>
          <c:order val="70"/>
        </c:ser>
        <c:ser>
          <c:idx val="71"/>
          <c:order val="71"/>
        </c:ser>
        <c:ser>
          <c:idx val="72"/>
          <c:order val="72"/>
        </c:ser>
        <c:ser>
          <c:idx val="73"/>
          <c:order val="73"/>
        </c:ser>
        <c:ser>
          <c:idx val="74"/>
          <c:order val="74"/>
        </c:ser>
        <c:ser>
          <c:idx val="75"/>
          <c:order val="75"/>
        </c:ser>
        <c:ser>
          <c:idx val="76"/>
          <c:order val="76"/>
        </c:ser>
        <c:ser>
          <c:idx val="77"/>
          <c:order val="77"/>
        </c:ser>
        <c:ser>
          <c:idx val="78"/>
          <c:order val="78"/>
        </c:ser>
        <c:ser>
          <c:idx val="79"/>
          <c:order val="79"/>
        </c:ser>
        <c:ser>
          <c:idx val="80"/>
          <c:order val="80"/>
        </c:ser>
        <c:ser>
          <c:idx val="81"/>
          <c:order val="81"/>
        </c:ser>
        <c:ser>
          <c:idx val="82"/>
          <c:order val="82"/>
        </c:ser>
        <c:ser>
          <c:idx val="83"/>
          <c:order val="83"/>
        </c:ser>
        <c:ser>
          <c:idx val="84"/>
          <c:order val="84"/>
        </c:ser>
        <c:ser>
          <c:idx val="85"/>
          <c:order val="85"/>
        </c:ser>
        <c:ser>
          <c:idx val="86"/>
          <c:order val="86"/>
        </c:ser>
        <c:ser>
          <c:idx val="87"/>
          <c:order val="87"/>
        </c:ser>
        <c:ser>
          <c:idx val="88"/>
          <c:order val="88"/>
        </c:ser>
        <c:ser>
          <c:idx val="89"/>
          <c:order val="89"/>
        </c:ser>
        <c:ser>
          <c:idx val="90"/>
          <c:order val="90"/>
        </c:ser>
        <c:ser>
          <c:idx val="91"/>
          <c:order val="91"/>
        </c:ser>
        <c:ser>
          <c:idx val="92"/>
          <c:order val="92"/>
        </c:ser>
        <c:ser>
          <c:idx val="93"/>
          <c:order val="93"/>
        </c:ser>
        <c:ser>
          <c:idx val="94"/>
          <c:order val="94"/>
        </c:ser>
        <c:ser>
          <c:idx val="95"/>
          <c:order val="95"/>
        </c:ser>
        <c:ser>
          <c:idx val="96"/>
          <c:order val="96"/>
        </c:ser>
        <c:ser>
          <c:idx val="97"/>
          <c:order val="97"/>
        </c:ser>
        <c:ser>
          <c:idx val="98"/>
          <c:order val="98"/>
        </c:ser>
        <c:ser>
          <c:idx val="99"/>
          <c:order val="99"/>
        </c:ser>
        <c:ser>
          <c:idx val="100"/>
          <c:order val="100"/>
        </c:ser>
        <c:ser>
          <c:idx val="101"/>
          <c:order val="101"/>
        </c:ser>
        <c:ser>
          <c:idx val="102"/>
          <c:order val="102"/>
        </c:ser>
        <c:ser>
          <c:idx val="103"/>
          <c:order val="103"/>
        </c:ser>
        <c:ser>
          <c:idx val="104"/>
          <c:order val="104"/>
        </c:ser>
        <c:ser>
          <c:idx val="105"/>
          <c:order val="105"/>
        </c:ser>
        <c:ser>
          <c:idx val="106"/>
          <c:order val="106"/>
        </c:ser>
        <c:ser>
          <c:idx val="107"/>
          <c:order val="107"/>
        </c:ser>
        <c:ser>
          <c:idx val="108"/>
          <c:order val="108"/>
        </c:ser>
        <c:ser>
          <c:idx val="109"/>
          <c:order val="109"/>
        </c:ser>
        <c:ser>
          <c:idx val="110"/>
          <c:order val="110"/>
        </c:ser>
        <c:ser>
          <c:idx val="111"/>
          <c:order val="111"/>
        </c:ser>
        <c:ser>
          <c:idx val="112"/>
          <c:order val="112"/>
        </c:ser>
        <c:ser>
          <c:idx val="113"/>
          <c:order val="113"/>
        </c:ser>
        <c:ser>
          <c:idx val="114"/>
          <c:order val="114"/>
        </c:ser>
        <c:ser>
          <c:idx val="115"/>
          <c:order val="115"/>
        </c:ser>
        <c:ser>
          <c:idx val="116"/>
          <c:order val="116"/>
        </c:ser>
        <c:ser>
          <c:idx val="117"/>
          <c:order val="117"/>
        </c:ser>
        <c:ser>
          <c:idx val="118"/>
          <c:order val="118"/>
        </c:ser>
        <c:ser>
          <c:idx val="119"/>
          <c:order val="119"/>
        </c:ser>
        <c:ser>
          <c:idx val="120"/>
          <c:order val="120"/>
        </c:ser>
        <c:ser>
          <c:idx val="121"/>
          <c:order val="121"/>
        </c:ser>
        <c:ser>
          <c:idx val="122"/>
          <c:order val="122"/>
        </c:ser>
        <c:ser>
          <c:idx val="123"/>
          <c:order val="123"/>
        </c:ser>
        <c:ser>
          <c:idx val="124"/>
          <c:order val="124"/>
        </c:ser>
        <c:ser>
          <c:idx val="125"/>
          <c:order val="125"/>
        </c:ser>
        <c:ser>
          <c:idx val="126"/>
          <c:order val="126"/>
        </c:ser>
        <c:ser>
          <c:idx val="127"/>
          <c:order val="127"/>
        </c:ser>
        <c:ser>
          <c:idx val="128"/>
          <c:order val="128"/>
        </c:ser>
        <c:ser>
          <c:idx val="129"/>
          <c:order val="129"/>
        </c:ser>
        <c:ser>
          <c:idx val="130"/>
          <c:order val="130"/>
        </c:ser>
        <c:ser>
          <c:idx val="131"/>
          <c:order val="131"/>
        </c:ser>
        <c:ser>
          <c:idx val="132"/>
          <c:order val="132"/>
        </c:ser>
        <c:ser>
          <c:idx val="133"/>
          <c:order val="133"/>
        </c:ser>
        <c:ser>
          <c:idx val="134"/>
          <c:order val="134"/>
        </c:ser>
        <c:ser>
          <c:idx val="135"/>
          <c:order val="135"/>
        </c:ser>
        <c:ser>
          <c:idx val="136"/>
          <c:order val="136"/>
        </c:ser>
        <c:ser>
          <c:idx val="137"/>
          <c:order val="137"/>
        </c:ser>
        <c:ser>
          <c:idx val="138"/>
          <c:order val="138"/>
        </c:ser>
        <c:ser>
          <c:idx val="139"/>
          <c:order val="139"/>
        </c:ser>
        <c:ser>
          <c:idx val="140"/>
          <c:order val="140"/>
        </c:ser>
        <c:ser>
          <c:idx val="141"/>
          <c:order val="141"/>
        </c:ser>
        <c:ser>
          <c:idx val="142"/>
          <c:order val="142"/>
        </c:ser>
        <c:ser>
          <c:idx val="143"/>
          <c:order val="143"/>
        </c:ser>
        <c:ser>
          <c:idx val="144"/>
          <c:order val="144"/>
        </c:ser>
        <c:ser>
          <c:idx val="145"/>
          <c:order val="145"/>
        </c:ser>
        <c:ser>
          <c:idx val="146"/>
          <c:order val="146"/>
        </c:ser>
        <c:ser>
          <c:idx val="147"/>
          <c:order val="147"/>
        </c:ser>
        <c:ser>
          <c:idx val="148"/>
          <c:order val="148"/>
        </c:ser>
        <c:ser>
          <c:idx val="149"/>
          <c:order val="149"/>
        </c:ser>
        <c:ser>
          <c:idx val="150"/>
          <c:order val="150"/>
        </c:ser>
        <c:ser>
          <c:idx val="151"/>
          <c:order val="151"/>
        </c:ser>
        <c:ser>
          <c:idx val="152"/>
          <c:order val="152"/>
        </c:ser>
        <c:ser>
          <c:idx val="153"/>
          <c:order val="153"/>
        </c:ser>
        <c:ser>
          <c:idx val="154"/>
          <c:order val="154"/>
        </c:ser>
        <c:ser>
          <c:idx val="155"/>
          <c:order val="155"/>
        </c:ser>
        <c:ser>
          <c:idx val="156"/>
          <c:order val="156"/>
        </c:ser>
        <c:ser>
          <c:idx val="157"/>
          <c:order val="157"/>
        </c:ser>
        <c:ser>
          <c:idx val="158"/>
          <c:order val="158"/>
        </c:ser>
        <c:ser>
          <c:idx val="159"/>
          <c:order val="159"/>
        </c:ser>
        <c:ser>
          <c:idx val="160"/>
          <c:order val="160"/>
        </c:ser>
        <c:ser>
          <c:idx val="161"/>
          <c:order val="161"/>
        </c:ser>
        <c:ser>
          <c:idx val="162"/>
          <c:order val="162"/>
        </c:ser>
        <c:ser>
          <c:idx val="163"/>
          <c:order val="163"/>
        </c:ser>
        <c:ser>
          <c:idx val="164"/>
          <c:order val="164"/>
        </c:ser>
        <c:ser>
          <c:idx val="165"/>
          <c:order val="165"/>
        </c:ser>
        <c:ser>
          <c:idx val="166"/>
          <c:order val="166"/>
        </c:ser>
        <c:ser>
          <c:idx val="167"/>
          <c:order val="167"/>
        </c:ser>
        <c:ser>
          <c:idx val="168"/>
          <c:order val="168"/>
        </c:ser>
        <c:ser>
          <c:idx val="169"/>
          <c:order val="169"/>
        </c:ser>
        <c:ser>
          <c:idx val="170"/>
          <c:order val="170"/>
        </c:ser>
        <c:ser>
          <c:idx val="171"/>
          <c:order val="171"/>
        </c:ser>
        <c:ser>
          <c:idx val="172"/>
          <c:order val="172"/>
        </c:ser>
        <c:ser>
          <c:idx val="173"/>
          <c:order val="173"/>
        </c:ser>
        <c:ser>
          <c:idx val="174"/>
          <c:order val="174"/>
        </c:ser>
        <c:ser>
          <c:idx val="175"/>
          <c:order val="175"/>
        </c:ser>
        <c:ser>
          <c:idx val="176"/>
          <c:order val="176"/>
        </c:ser>
        <c:ser>
          <c:idx val="177"/>
          <c:order val="177"/>
        </c:ser>
        <c:ser>
          <c:idx val="178"/>
          <c:order val="178"/>
        </c:ser>
        <c:ser>
          <c:idx val="179"/>
          <c:order val="179"/>
        </c:ser>
        <c:ser>
          <c:idx val="180"/>
          <c:order val="180"/>
        </c:ser>
        <c:ser>
          <c:idx val="181"/>
          <c:order val="181"/>
        </c:ser>
        <c:ser>
          <c:idx val="182"/>
          <c:order val="182"/>
        </c:ser>
        <c:ser>
          <c:idx val="183"/>
          <c:order val="183"/>
        </c:ser>
        <c:ser>
          <c:idx val="184"/>
          <c:order val="184"/>
        </c:ser>
        <c:ser>
          <c:idx val="185"/>
          <c:order val="185"/>
        </c:ser>
        <c:ser>
          <c:idx val="186"/>
          <c:order val="186"/>
        </c:ser>
        <c:ser>
          <c:idx val="187"/>
          <c:order val="187"/>
        </c:ser>
        <c:ser>
          <c:idx val="188"/>
          <c:order val="188"/>
        </c:ser>
        <c:ser>
          <c:idx val="189"/>
          <c:order val="189"/>
        </c:ser>
        <c:ser>
          <c:idx val="190"/>
          <c:order val="190"/>
        </c:ser>
        <c:ser>
          <c:idx val="191"/>
          <c:order val="191"/>
        </c:ser>
        <c:ser>
          <c:idx val="192"/>
          <c:order val="192"/>
        </c:ser>
        <c:ser>
          <c:idx val="193"/>
          <c:order val="193"/>
        </c:ser>
        <c:ser>
          <c:idx val="194"/>
          <c:order val="194"/>
        </c:ser>
        <c:ser>
          <c:idx val="195"/>
          <c:order val="195"/>
        </c:ser>
        <c:ser>
          <c:idx val="196"/>
          <c:order val="196"/>
        </c:ser>
        <c:ser>
          <c:idx val="197"/>
          <c:order val="197"/>
        </c:ser>
        <c:ser>
          <c:idx val="198"/>
          <c:order val="198"/>
        </c:ser>
        <c:ser>
          <c:idx val="199"/>
          <c:order val="199"/>
        </c:ser>
        <c:ser>
          <c:idx val="200"/>
          <c:order val="200"/>
        </c:ser>
        <c:ser>
          <c:idx val="201"/>
          <c:order val="201"/>
        </c:ser>
        <c:ser>
          <c:idx val="202"/>
          <c:order val="202"/>
        </c:ser>
        <c:ser>
          <c:idx val="203"/>
          <c:order val="203"/>
        </c:ser>
        <c:ser>
          <c:idx val="204"/>
          <c:order val="204"/>
        </c:ser>
        <c:ser>
          <c:idx val="205"/>
          <c:order val="205"/>
        </c:ser>
        <c:ser>
          <c:idx val="206"/>
          <c:order val="206"/>
        </c:ser>
        <c:ser>
          <c:idx val="207"/>
          <c:order val="207"/>
        </c:ser>
        <c:ser>
          <c:idx val="208"/>
          <c:order val="208"/>
        </c:ser>
        <c:ser>
          <c:idx val="209"/>
          <c:order val="209"/>
        </c:ser>
        <c:ser>
          <c:idx val="210"/>
          <c:order val="210"/>
        </c:ser>
        <c:ser>
          <c:idx val="211"/>
          <c:order val="211"/>
        </c:ser>
        <c:ser>
          <c:idx val="212"/>
          <c:order val="212"/>
        </c:ser>
        <c:ser>
          <c:idx val="213"/>
          <c:order val="213"/>
        </c:ser>
        <c:ser>
          <c:idx val="214"/>
          <c:order val="214"/>
        </c:ser>
        <c:ser>
          <c:idx val="215"/>
          <c:order val="215"/>
        </c:ser>
        <c:ser>
          <c:idx val="216"/>
          <c:order val="216"/>
        </c:ser>
        <c:ser>
          <c:idx val="217"/>
          <c:order val="217"/>
        </c:ser>
        <c:ser>
          <c:idx val="218"/>
          <c:order val="218"/>
        </c:ser>
        <c:ser>
          <c:idx val="219"/>
          <c:order val="219"/>
        </c:ser>
        <c:ser>
          <c:idx val="220"/>
          <c:order val="220"/>
        </c:ser>
        <c:ser>
          <c:idx val="221"/>
          <c:order val="221"/>
        </c:ser>
        <c:ser>
          <c:idx val="222"/>
          <c:order val="222"/>
        </c:ser>
        <c:ser>
          <c:idx val="223"/>
          <c:order val="223"/>
        </c:ser>
        <c:ser>
          <c:idx val="224"/>
          <c:order val="224"/>
        </c:ser>
        <c:ser>
          <c:idx val="225"/>
          <c:order val="225"/>
        </c:ser>
        <c:ser>
          <c:idx val="226"/>
          <c:order val="226"/>
        </c:ser>
        <c:ser>
          <c:idx val="227"/>
          <c:order val="227"/>
        </c:ser>
        <c:ser>
          <c:idx val="228"/>
          <c:order val="228"/>
        </c:ser>
        <c:ser>
          <c:idx val="229"/>
          <c:order val="229"/>
        </c:ser>
        <c:ser>
          <c:idx val="230"/>
          <c:order val="230"/>
        </c:ser>
        <c:ser>
          <c:idx val="231"/>
          <c:order val="231"/>
        </c:ser>
        <c:ser>
          <c:idx val="232"/>
          <c:order val="232"/>
        </c:ser>
        <c:ser>
          <c:idx val="233"/>
          <c:order val="233"/>
        </c:ser>
        <c:ser>
          <c:idx val="234"/>
          <c:order val="234"/>
        </c:ser>
        <c:ser>
          <c:idx val="235"/>
          <c:order val="235"/>
        </c:ser>
        <c:ser>
          <c:idx val="236"/>
          <c:order val="236"/>
        </c:ser>
        <c:ser>
          <c:idx val="237"/>
          <c:order val="237"/>
        </c:ser>
        <c:ser>
          <c:idx val="238"/>
          <c:order val="238"/>
        </c:ser>
        <c:ser>
          <c:idx val="239"/>
          <c:order val="239"/>
        </c:ser>
        <c:ser>
          <c:idx val="240"/>
          <c:order val="240"/>
        </c:ser>
        <c:ser>
          <c:idx val="241"/>
          <c:order val="241"/>
        </c:ser>
        <c:ser>
          <c:idx val="242"/>
          <c:order val="242"/>
        </c:ser>
        <c:ser>
          <c:idx val="243"/>
          <c:order val="243"/>
        </c:ser>
        <c:ser>
          <c:idx val="244"/>
          <c:order val="244"/>
        </c:ser>
        <c:ser>
          <c:idx val="245"/>
          <c:order val="245"/>
        </c:ser>
        <c:ser>
          <c:idx val="246"/>
          <c:order val="246"/>
        </c:ser>
        <c:ser>
          <c:idx val="247"/>
          <c:order val="247"/>
        </c:ser>
        <c:ser>
          <c:idx val="248"/>
          <c:order val="248"/>
        </c:ser>
        <c:ser>
          <c:idx val="249"/>
          <c:order val="249"/>
        </c:ser>
        <c:ser>
          <c:idx val="250"/>
          <c:order val="250"/>
        </c:ser>
        <c:ser>
          <c:idx val="251"/>
          <c:order val="251"/>
        </c:ser>
        <c:ser>
          <c:idx val="252"/>
          <c:order val="252"/>
        </c:ser>
        <c:ser>
          <c:idx val="253"/>
          <c:order val="253"/>
        </c:ser>
        <c:ser>
          <c:idx val="254"/>
          <c:order val="254"/>
        </c:ser>
        <c:gapWidth val="0"/>
        <c:overlap val="100"/>
        <c:axId val="118971392"/>
        <c:axId val="118981376"/>
      </c:barChart>
      <c:catAx>
        <c:axId val="118971392"/>
        <c:scaling>
          <c:orientation val="minMax"/>
        </c:scaling>
        <c:axPos val="b"/>
        <c:tickLblPos val="nextTo"/>
        <c:crossAx val="118981376"/>
        <c:crosses val="autoZero"/>
        <c:auto val="1"/>
        <c:lblAlgn val="ctr"/>
        <c:lblOffset val="100"/>
      </c:catAx>
      <c:valAx>
        <c:axId val="118981376"/>
        <c:scaling>
          <c:orientation val="minMax"/>
        </c:scaling>
        <c:axPos val="l"/>
        <c:majorGridlines/>
        <c:numFmt formatCode="General" sourceLinked="1"/>
        <c:tickLblPos val="nextTo"/>
        <c:crossAx val="118971392"/>
        <c:crosses val="autoZero"/>
        <c:crossBetween val="between"/>
      </c:valAx>
    </c:plotArea>
    <c:plotVisOnly val="1"/>
  </c:chart>
  <c:printSettings>
    <c:headerFooter/>
    <c:pageMargins b="0.75000000000000111" l="0.70000000000000062" r="0.70000000000000062" t="0.75000000000000111"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1334492196199859"/>
          <c:y val="5.1455513507793017E-2"/>
          <c:w val="0.85690989017915531"/>
          <c:h val="0.55474241589332463"/>
        </c:manualLayout>
      </c:layout>
      <c:barChart>
        <c:barDir val="col"/>
        <c:grouping val="clustered"/>
        <c:ser>
          <c:idx val="0"/>
          <c:order val="0"/>
          <c:tx>
            <c:v>6 mo H/C site kBtu/sf</c:v>
          </c:tx>
          <c:cat>
            <c:strRef>
              <c:f>'EUI for heatingcooling'!$D$9:$D$21</c:f>
              <c:strCache>
                <c:ptCount val="13"/>
                <c:pt idx="0">
                  <c:v>Quincy</c:v>
                </c:pt>
                <c:pt idx="1">
                  <c:v>Belchertown</c:v>
                </c:pt>
                <c:pt idx="2">
                  <c:v>Brookline</c:v>
                </c:pt>
                <c:pt idx="3">
                  <c:v>Belmont</c:v>
                </c:pt>
                <c:pt idx="4">
                  <c:v>Milton</c:v>
                </c:pt>
                <c:pt idx="5">
                  <c:v>Jamaica Plain</c:v>
                </c:pt>
                <c:pt idx="6">
                  <c:v>Arlington</c:v>
                </c:pt>
                <c:pt idx="7">
                  <c:v>Newton</c:v>
                </c:pt>
                <c:pt idx="8">
                  <c:v>Westford</c:v>
                </c:pt>
                <c:pt idx="9">
                  <c:v>Northampton</c:v>
                </c:pt>
                <c:pt idx="10">
                  <c:v>Lancaster</c:v>
                </c:pt>
                <c:pt idx="11">
                  <c:v>Gloucester</c:v>
                </c:pt>
                <c:pt idx="12">
                  <c:v>Millbury</c:v>
                </c:pt>
              </c:strCache>
            </c:strRef>
          </c:cat>
          <c:val>
            <c:numRef>
              <c:f>'EUI for heatingcooling'!$AC$9:$AC$21</c:f>
              <c:numCache>
                <c:formatCode>0</c:formatCode>
                <c:ptCount val="13"/>
                <c:pt idx="0">
                  <c:v>2.6551573426573429</c:v>
                </c:pt>
                <c:pt idx="1">
                  <c:v>4.6460409019402205</c:v>
                </c:pt>
                <c:pt idx="2">
                  <c:v>4.5431632010081913</c:v>
                </c:pt>
                <c:pt idx="3">
                  <c:v>2.9739932885906044</c:v>
                </c:pt>
                <c:pt idx="4">
                  <c:v>4.7423986486486482</c:v>
                </c:pt>
                <c:pt idx="5">
                  <c:v>6.1956241956241955</c:v>
                </c:pt>
                <c:pt idx="6">
                  <c:v>5.3818582850840917</c:v>
                </c:pt>
                <c:pt idx="7">
                  <c:v>5.8162801273306046</c:v>
                </c:pt>
                <c:pt idx="8">
                  <c:v>7.9089759797724382</c:v>
                </c:pt>
                <c:pt idx="9">
                  <c:v>0.9901710957408083</c:v>
                </c:pt>
                <c:pt idx="10">
                  <c:v>1.7083333333333366</c:v>
                </c:pt>
                <c:pt idx="11">
                  <c:v>1.9513201320132014</c:v>
                </c:pt>
                <c:pt idx="12">
                  <c:v>3.8650963597430423</c:v>
                </c:pt>
              </c:numCache>
            </c:numRef>
          </c:val>
        </c:ser>
        <c:ser>
          <c:idx val="1"/>
          <c:order val="1"/>
          <c:tx>
            <c:v>6 mo H/C source kBtu/sf</c:v>
          </c:tx>
          <c:cat>
            <c:strRef>
              <c:f>'EUI for heatingcooling'!$D$9:$D$21</c:f>
              <c:strCache>
                <c:ptCount val="13"/>
                <c:pt idx="0">
                  <c:v>Quincy</c:v>
                </c:pt>
                <c:pt idx="1">
                  <c:v>Belchertown</c:v>
                </c:pt>
                <c:pt idx="2">
                  <c:v>Brookline</c:v>
                </c:pt>
                <c:pt idx="3">
                  <c:v>Belmont</c:v>
                </c:pt>
                <c:pt idx="4">
                  <c:v>Milton</c:v>
                </c:pt>
                <c:pt idx="5">
                  <c:v>Jamaica Plain</c:v>
                </c:pt>
                <c:pt idx="6">
                  <c:v>Arlington</c:v>
                </c:pt>
                <c:pt idx="7">
                  <c:v>Newton</c:v>
                </c:pt>
                <c:pt idx="8">
                  <c:v>Westford</c:v>
                </c:pt>
                <c:pt idx="9">
                  <c:v>Northampton</c:v>
                </c:pt>
                <c:pt idx="10">
                  <c:v>Lancaster</c:v>
                </c:pt>
                <c:pt idx="11">
                  <c:v>Gloucester</c:v>
                </c:pt>
                <c:pt idx="12">
                  <c:v>Millbury</c:v>
                </c:pt>
              </c:strCache>
            </c:strRef>
          </c:cat>
          <c:val>
            <c:numRef>
              <c:f>'EUI for heatingcooling'!$AD$9:$AD$21</c:f>
              <c:numCache>
                <c:formatCode>0</c:formatCode>
                <c:ptCount val="13"/>
                <c:pt idx="0">
                  <c:v>4.5432692307692308</c:v>
                </c:pt>
                <c:pt idx="1">
                  <c:v>5.3959098059779755</c:v>
                </c:pt>
                <c:pt idx="2">
                  <c:v>5.4221802142407061</c:v>
                </c:pt>
                <c:pt idx="3">
                  <c:v>6.0255872483221484</c:v>
                </c:pt>
                <c:pt idx="4">
                  <c:v>6.7989864864864868</c:v>
                </c:pt>
                <c:pt idx="5">
                  <c:v>6.960102960102958</c:v>
                </c:pt>
                <c:pt idx="6">
                  <c:v>7.4882823269920031</c:v>
                </c:pt>
                <c:pt idx="7">
                  <c:v>8.1491587085038653</c:v>
                </c:pt>
                <c:pt idx="8">
                  <c:v>11.299620733249052</c:v>
                </c:pt>
                <c:pt idx="9">
                  <c:v>3.3236257735711692</c:v>
                </c:pt>
                <c:pt idx="10">
                  <c:v>5.6597222222222205</c:v>
                </c:pt>
                <c:pt idx="11">
                  <c:v>6.534653465346536</c:v>
                </c:pt>
                <c:pt idx="12">
                  <c:v>12.537473233404709</c:v>
                </c:pt>
              </c:numCache>
            </c:numRef>
          </c:val>
        </c:ser>
        <c:axId val="119120640"/>
        <c:axId val="119122176"/>
      </c:barChart>
      <c:catAx>
        <c:axId val="119120640"/>
        <c:scaling>
          <c:orientation val="minMax"/>
        </c:scaling>
        <c:axPos val="b"/>
        <c:tickLblPos val="nextTo"/>
        <c:crossAx val="119122176"/>
        <c:crosses val="autoZero"/>
        <c:auto val="1"/>
        <c:lblAlgn val="ctr"/>
        <c:lblOffset val="100"/>
      </c:catAx>
      <c:valAx>
        <c:axId val="119122176"/>
        <c:scaling>
          <c:orientation val="minMax"/>
        </c:scaling>
        <c:axPos val="l"/>
        <c:majorGridlines/>
        <c:numFmt formatCode="0" sourceLinked="1"/>
        <c:tickLblPos val="nextTo"/>
        <c:crossAx val="119120640"/>
        <c:crosses val="autoZero"/>
        <c:crossBetween val="between"/>
      </c:valAx>
    </c:plotArea>
    <c:legend>
      <c:legendPos val="b"/>
      <c:layout/>
    </c:legend>
    <c:plotVisOnly val="1"/>
  </c:chart>
  <c:printSettings>
    <c:headerFooter/>
    <c:pageMargins b="0.750000000000005" l="0.70000000000000062" r="0.70000000000000062" t="0.750000000000005"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0593285214348212"/>
          <c:y val="0.14716480952044841"/>
          <c:w val="0.86351159230096242"/>
          <c:h val="0.54753696750582259"/>
        </c:manualLayout>
      </c:layout>
      <c:barChart>
        <c:barDir val="col"/>
        <c:grouping val="percentStacked"/>
        <c:ser>
          <c:idx val="1"/>
          <c:order val="0"/>
          <c:tx>
            <c:v>H/C source energy use</c:v>
          </c:tx>
          <c:dLbls>
            <c:dLbl>
              <c:idx val="0"/>
              <c:tx>
                <c:rich>
                  <a:bodyPr/>
                  <a:lstStyle/>
                  <a:p>
                    <a:r>
                      <a:rPr lang="en-US"/>
                      <a:t>54%</a:t>
                    </a:r>
                  </a:p>
                </c:rich>
              </c:tx>
              <c:showVal val="1"/>
            </c:dLbl>
            <c:dLbl>
              <c:idx val="1"/>
              <c:tx>
                <c:rich>
                  <a:bodyPr/>
                  <a:lstStyle/>
                  <a:p>
                    <a:r>
                      <a:rPr lang="en-US"/>
                      <a:t>36%</a:t>
                    </a:r>
                  </a:p>
                </c:rich>
              </c:tx>
              <c:showVal val="1"/>
            </c:dLbl>
            <c:dLbl>
              <c:idx val="2"/>
              <c:tx>
                <c:rich>
                  <a:bodyPr/>
                  <a:lstStyle/>
                  <a:p>
                    <a:r>
                      <a:rPr lang="en-US"/>
                      <a:t>39%</a:t>
                    </a:r>
                  </a:p>
                </c:rich>
              </c:tx>
              <c:showVal val="1"/>
            </c:dLbl>
            <c:dLbl>
              <c:idx val="3"/>
              <c:tx>
                <c:rich>
                  <a:bodyPr/>
                  <a:lstStyle/>
                  <a:p>
                    <a:r>
                      <a:rPr lang="en-US"/>
                      <a:t>36%</a:t>
                    </a:r>
                  </a:p>
                </c:rich>
              </c:tx>
              <c:showVal val="1"/>
            </c:dLbl>
            <c:dLbl>
              <c:idx val="4"/>
              <c:tx>
                <c:rich>
                  <a:bodyPr/>
                  <a:lstStyle/>
                  <a:p>
                    <a:r>
                      <a:rPr lang="en-US"/>
                      <a:t>30%</a:t>
                    </a:r>
                  </a:p>
                </c:rich>
              </c:tx>
              <c:showVal val="1"/>
            </c:dLbl>
            <c:dLbl>
              <c:idx val="5"/>
              <c:tx>
                <c:rich>
                  <a:bodyPr/>
                  <a:lstStyle/>
                  <a:p>
                    <a:r>
                      <a:rPr lang="en-US"/>
                      <a:t>40%</a:t>
                    </a:r>
                  </a:p>
                </c:rich>
              </c:tx>
              <c:showVal val="1"/>
            </c:dLbl>
            <c:dLbl>
              <c:idx val="6"/>
              <c:tx>
                <c:rich>
                  <a:bodyPr/>
                  <a:lstStyle/>
                  <a:p>
                    <a:r>
                      <a:rPr lang="en-US"/>
                      <a:t>40%</a:t>
                    </a:r>
                  </a:p>
                </c:rich>
              </c:tx>
              <c:showVal val="1"/>
            </c:dLbl>
            <c:dLbl>
              <c:idx val="7"/>
              <c:tx>
                <c:rich>
                  <a:bodyPr/>
                  <a:lstStyle/>
                  <a:p>
                    <a:r>
                      <a:rPr lang="en-US"/>
                      <a:t>37%</a:t>
                    </a:r>
                  </a:p>
                </c:rich>
              </c:tx>
              <c:showVal val="1"/>
            </c:dLbl>
            <c:dLbl>
              <c:idx val="8"/>
              <c:tx>
                <c:rich>
                  <a:bodyPr/>
                  <a:lstStyle/>
                  <a:p>
                    <a:r>
                      <a:rPr lang="en-US"/>
                      <a:t>27%</a:t>
                    </a:r>
                  </a:p>
                </c:rich>
              </c:tx>
              <c:showVal val="1"/>
            </c:dLbl>
            <c:dLbl>
              <c:idx val="9"/>
              <c:tx>
                <c:rich>
                  <a:bodyPr/>
                  <a:lstStyle/>
                  <a:p>
                    <a:r>
                      <a:rPr lang="en-US"/>
                      <a:t>16%</a:t>
                    </a:r>
                  </a:p>
                </c:rich>
              </c:tx>
              <c:showVal val="1"/>
            </c:dLbl>
            <c:dLbl>
              <c:idx val="10"/>
              <c:tx>
                <c:rich>
                  <a:bodyPr/>
                  <a:lstStyle/>
                  <a:p>
                    <a:r>
                      <a:rPr lang="en-US"/>
                      <a:t>40%</a:t>
                    </a:r>
                  </a:p>
                </c:rich>
              </c:tx>
              <c:showVal val="1"/>
            </c:dLbl>
            <c:dLbl>
              <c:idx val="11"/>
              <c:tx>
                <c:rich>
                  <a:bodyPr/>
                  <a:lstStyle/>
                  <a:p>
                    <a:r>
                      <a:rPr lang="en-US"/>
                      <a:t>43%</a:t>
                    </a:r>
                  </a:p>
                </c:rich>
              </c:tx>
              <c:showVal val="1"/>
            </c:dLbl>
            <c:dLbl>
              <c:idx val="12"/>
              <c:tx>
                <c:rich>
                  <a:bodyPr/>
                  <a:lstStyle/>
                  <a:p>
                    <a:r>
                      <a:rPr lang="en-US"/>
                      <a:t>24%</a:t>
                    </a:r>
                  </a:p>
                </c:rich>
              </c:tx>
              <c:showVal val="1"/>
            </c:dLbl>
            <c:showVal val="1"/>
          </c:dLbls>
          <c:cat>
            <c:strRef>
              <c:f>'EUI for heatingcooling (2)'!$D$9:$D$21</c:f>
              <c:strCache>
                <c:ptCount val="13"/>
                <c:pt idx="0">
                  <c:v>Belchertown</c:v>
                </c:pt>
                <c:pt idx="1">
                  <c:v>Belmont</c:v>
                </c:pt>
                <c:pt idx="2">
                  <c:v>Millbury</c:v>
                </c:pt>
                <c:pt idx="3">
                  <c:v>Milton</c:v>
                </c:pt>
                <c:pt idx="4">
                  <c:v>Quincy</c:v>
                </c:pt>
                <c:pt idx="5">
                  <c:v>Arlington</c:v>
                </c:pt>
                <c:pt idx="6">
                  <c:v>Newton</c:v>
                </c:pt>
                <c:pt idx="7">
                  <c:v>Jamaica Plain</c:v>
                </c:pt>
                <c:pt idx="8">
                  <c:v>Northampton</c:v>
                </c:pt>
                <c:pt idx="9">
                  <c:v>Lancaster</c:v>
                </c:pt>
                <c:pt idx="10">
                  <c:v>Brookline</c:v>
                </c:pt>
                <c:pt idx="11">
                  <c:v>Westford</c:v>
                </c:pt>
                <c:pt idx="12">
                  <c:v>Gloucester</c:v>
                </c:pt>
              </c:strCache>
            </c:strRef>
          </c:cat>
          <c:val>
            <c:numRef>
              <c:f>('EUI for heatingcooling (2)'!$V$9:$V$17,'EUI for heatingcooling (2)'!$AB$18:$AB$21)</c:f>
              <c:numCache>
                <c:formatCode>0.00</c:formatCode>
                <c:ptCount val="13"/>
                <c:pt idx="0">
                  <c:v>28.4</c:v>
                </c:pt>
                <c:pt idx="1">
                  <c:v>54.16</c:v>
                </c:pt>
                <c:pt idx="2">
                  <c:v>50.769999999999982</c:v>
                </c:pt>
                <c:pt idx="3">
                  <c:v>39.25</c:v>
                </c:pt>
                <c:pt idx="4">
                  <c:v>42.3</c:v>
                </c:pt>
                <c:pt idx="5">
                  <c:v>87.460000000000008</c:v>
                </c:pt>
                <c:pt idx="6">
                  <c:v>50.36</c:v>
                </c:pt>
                <c:pt idx="7">
                  <c:v>56.739999999999981</c:v>
                </c:pt>
                <c:pt idx="8">
                  <c:v>23.299999999999997</c:v>
                </c:pt>
                <c:pt idx="9">
                  <c:v>8.1499999999999986</c:v>
                </c:pt>
                <c:pt idx="10">
                  <c:v>17.21</c:v>
                </c:pt>
                <c:pt idx="11">
                  <c:v>44.69</c:v>
                </c:pt>
                <c:pt idx="12">
                  <c:v>15.840000000000003</c:v>
                </c:pt>
              </c:numCache>
            </c:numRef>
          </c:val>
        </c:ser>
        <c:ser>
          <c:idx val="0"/>
          <c:order val="1"/>
          <c:tx>
            <c:v>non H/C source energy use</c:v>
          </c:tx>
          <c:cat>
            <c:strRef>
              <c:f>'EUI for heatingcooling (2)'!$D$9:$D$21</c:f>
              <c:strCache>
                <c:ptCount val="13"/>
                <c:pt idx="0">
                  <c:v>Belchertown</c:v>
                </c:pt>
                <c:pt idx="1">
                  <c:v>Belmont</c:v>
                </c:pt>
                <c:pt idx="2">
                  <c:v>Millbury</c:v>
                </c:pt>
                <c:pt idx="3">
                  <c:v>Milton</c:v>
                </c:pt>
                <c:pt idx="4">
                  <c:v>Quincy</c:v>
                </c:pt>
                <c:pt idx="5">
                  <c:v>Arlington</c:v>
                </c:pt>
                <c:pt idx="6">
                  <c:v>Newton</c:v>
                </c:pt>
                <c:pt idx="7">
                  <c:v>Jamaica Plain</c:v>
                </c:pt>
                <c:pt idx="8">
                  <c:v>Northampton</c:v>
                </c:pt>
                <c:pt idx="9">
                  <c:v>Lancaster</c:v>
                </c:pt>
                <c:pt idx="10">
                  <c:v>Brookline</c:v>
                </c:pt>
                <c:pt idx="11">
                  <c:v>Westford</c:v>
                </c:pt>
                <c:pt idx="12">
                  <c:v>Gloucester</c:v>
                </c:pt>
              </c:strCache>
            </c:strRef>
          </c:cat>
          <c:val>
            <c:numRef>
              <c:f>('EUI for heatingcooling (2)'!$AN$9:$AN$17,'EUI for heatingcooling (2)'!$AK$18:$AK$21)</c:f>
              <c:numCache>
                <c:formatCode>0.00</c:formatCode>
                <c:ptCount val="13"/>
                <c:pt idx="0">
                  <c:v>24</c:v>
                </c:pt>
                <c:pt idx="1">
                  <c:v>97.32</c:v>
                </c:pt>
                <c:pt idx="2">
                  <c:v>78.960000000000008</c:v>
                </c:pt>
                <c:pt idx="3">
                  <c:v>68.88</c:v>
                </c:pt>
                <c:pt idx="4">
                  <c:v>97.92</c:v>
                </c:pt>
                <c:pt idx="5">
                  <c:v>129.12</c:v>
                </c:pt>
                <c:pt idx="6">
                  <c:v>75</c:v>
                </c:pt>
                <c:pt idx="7">
                  <c:v>96.960000000000008</c:v>
                </c:pt>
                <c:pt idx="8">
                  <c:v>64.44</c:v>
                </c:pt>
                <c:pt idx="9">
                  <c:v>41.88</c:v>
                </c:pt>
                <c:pt idx="10">
                  <c:v>26.22</c:v>
                </c:pt>
                <c:pt idx="11">
                  <c:v>58.56</c:v>
                </c:pt>
                <c:pt idx="12">
                  <c:v>49.44</c:v>
                </c:pt>
              </c:numCache>
            </c:numRef>
          </c:val>
        </c:ser>
        <c:overlap val="100"/>
        <c:axId val="124415360"/>
        <c:axId val="124421248"/>
      </c:barChart>
      <c:catAx>
        <c:axId val="124415360"/>
        <c:scaling>
          <c:orientation val="minMax"/>
        </c:scaling>
        <c:axPos val="b"/>
        <c:tickLblPos val="nextTo"/>
        <c:crossAx val="124421248"/>
        <c:crosses val="autoZero"/>
        <c:auto val="1"/>
        <c:lblAlgn val="ctr"/>
        <c:lblOffset val="100"/>
      </c:catAx>
      <c:valAx>
        <c:axId val="124421248"/>
        <c:scaling>
          <c:orientation val="minMax"/>
        </c:scaling>
        <c:axPos val="l"/>
        <c:majorGridlines/>
        <c:numFmt formatCode="0%" sourceLinked="1"/>
        <c:tickLblPos val="nextTo"/>
        <c:crossAx val="124415360"/>
        <c:crosses val="autoZero"/>
        <c:crossBetween val="between"/>
        <c:majorUnit val="0.1"/>
      </c:valAx>
    </c:plotArea>
    <c:legend>
      <c:legendPos val="b"/>
    </c:legend>
    <c:plotVisOnly val="1"/>
  </c:chart>
  <c:printSettings>
    <c:headerFooter/>
    <c:pageMargins b="0.750000000000004" l="0.70000000000000062" r="0.70000000000000062" t="0.750000000000004"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2198840769903672"/>
          <c:y val="0.10997728310390713"/>
          <c:w val="0.82987270341207364"/>
          <c:h val="0.66474763461981812"/>
        </c:manualLayout>
      </c:layout>
      <c:scatterChart>
        <c:scatterStyle val="lineMarker"/>
        <c:ser>
          <c:idx val="0"/>
          <c:order val="0"/>
          <c:tx>
            <c:v>6 mo H/C source kBtu/sf vs ACH 50</c:v>
          </c:tx>
          <c:spPr>
            <a:ln w="28575">
              <a:noFill/>
            </a:ln>
          </c:spPr>
          <c:xVal>
            <c:numRef>
              <c:f>'EUI for heatingcooling (2)'!$N$9:$N$21</c:f>
              <c:numCache>
                <c:formatCode>0.0</c:formatCode>
                <c:ptCount val="13"/>
                <c:pt idx="0">
                  <c:v>1.8755009350788139</c:v>
                </c:pt>
                <c:pt idx="1">
                  <c:v>0.74204502578292031</c:v>
                </c:pt>
                <c:pt idx="2">
                  <c:v>1.4188235294117648</c:v>
                </c:pt>
                <c:pt idx="3">
                  <c:v>1.4326835012429675</c:v>
                </c:pt>
                <c:pt idx="4">
                  <c:v>1.2579100863919002</c:v>
                </c:pt>
                <c:pt idx="5">
                  <c:v>7.2571505666486775</c:v>
                </c:pt>
                <c:pt idx="6">
                  <c:v>3.558254200146092</c:v>
                </c:pt>
                <c:pt idx="7">
                  <c:v>2.5388625369839852</c:v>
                </c:pt>
                <c:pt idx="8">
                  <c:v>0.81966266173752311</c:v>
                </c:pt>
                <c:pt idx="9">
                  <c:v>1.4250972762645915</c:v>
                </c:pt>
                <c:pt idx="10">
                  <c:v>1.5007446442891512</c:v>
                </c:pt>
                <c:pt idx="11">
                  <c:v>1.2546374367622262</c:v>
                </c:pt>
                <c:pt idx="12">
                  <c:v>0.60554004724071286</c:v>
                </c:pt>
              </c:numCache>
            </c:numRef>
          </c:xVal>
          <c:yVal>
            <c:numRef>
              <c:f>'EUI for heatingcooling (2)'!$AF$9:$AF$21</c:f>
              <c:numCache>
                <c:formatCode>0.00</c:formatCode>
                <c:ptCount val="13"/>
                <c:pt idx="0">
                  <c:v>5.3959098059779755</c:v>
                </c:pt>
                <c:pt idx="1">
                  <c:v>6.0255872483221484</c:v>
                </c:pt>
                <c:pt idx="2">
                  <c:v>12.537473233404709</c:v>
                </c:pt>
                <c:pt idx="3">
                  <c:v>6.7989864864864868</c:v>
                </c:pt>
                <c:pt idx="4">
                  <c:v>4.5432692307692308</c:v>
                </c:pt>
                <c:pt idx="5">
                  <c:v>7.4882823269920031</c:v>
                </c:pt>
                <c:pt idx="6">
                  <c:v>8.1491587085038653</c:v>
                </c:pt>
                <c:pt idx="7">
                  <c:v>6.960102960102958</c:v>
                </c:pt>
                <c:pt idx="8">
                  <c:v>3.3236257735711692</c:v>
                </c:pt>
                <c:pt idx="9">
                  <c:v>5.6597222222222205</c:v>
                </c:pt>
                <c:pt idx="10">
                  <c:v>5.4221802142407061</c:v>
                </c:pt>
                <c:pt idx="11">
                  <c:v>11.299620733249052</c:v>
                </c:pt>
                <c:pt idx="12">
                  <c:v>6.534653465346536</c:v>
                </c:pt>
              </c:numCache>
            </c:numRef>
          </c:yVal>
        </c:ser>
        <c:axId val="124498304"/>
        <c:axId val="124499840"/>
      </c:scatterChart>
      <c:valAx>
        <c:axId val="124498304"/>
        <c:scaling>
          <c:orientation val="minMax"/>
        </c:scaling>
        <c:axPos val="b"/>
        <c:numFmt formatCode="0.0" sourceLinked="1"/>
        <c:tickLblPos val="nextTo"/>
        <c:crossAx val="124499840"/>
        <c:crosses val="autoZero"/>
        <c:crossBetween val="midCat"/>
        <c:majorUnit val="1.5"/>
      </c:valAx>
      <c:valAx>
        <c:axId val="124499840"/>
        <c:scaling>
          <c:orientation val="minMax"/>
        </c:scaling>
        <c:axPos val="l"/>
        <c:majorGridlines/>
        <c:numFmt formatCode="0" sourceLinked="0"/>
        <c:tickLblPos val="nextTo"/>
        <c:crossAx val="124498304"/>
        <c:crosses val="autoZero"/>
        <c:crossBetween val="midCat"/>
      </c:valAx>
    </c:plotArea>
    <c:plotVisOnly val="1"/>
  </c:chart>
  <c:printSettings>
    <c:headerFooter/>
    <c:pageMargins b="0.75000000000000377" l="0.70000000000000062" r="0.70000000000000062" t="0.75000000000000377"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2198840769903666"/>
          <c:y val="0.10997728310390713"/>
          <c:w val="0.8137964233036995"/>
          <c:h val="0.70439564865939996"/>
        </c:manualLayout>
      </c:layout>
      <c:scatterChart>
        <c:scatterStyle val="lineMarker"/>
        <c:ser>
          <c:idx val="0"/>
          <c:order val="0"/>
          <c:tx>
            <c:v>12 mo H/C source kBtu/sf vs ACH 50</c:v>
          </c:tx>
          <c:spPr>
            <a:ln w="28575">
              <a:noFill/>
            </a:ln>
          </c:spPr>
          <c:xVal>
            <c:numRef>
              <c:f>'EUI for heatingcooling (2)'!$N$9:$N$17</c:f>
              <c:numCache>
                <c:formatCode>0.0</c:formatCode>
                <c:ptCount val="9"/>
                <c:pt idx="0">
                  <c:v>1.8755009350788139</c:v>
                </c:pt>
                <c:pt idx="1">
                  <c:v>0.74204502578292031</c:v>
                </c:pt>
                <c:pt idx="2">
                  <c:v>1.4188235294117648</c:v>
                </c:pt>
                <c:pt idx="3">
                  <c:v>1.4326835012429675</c:v>
                </c:pt>
                <c:pt idx="4">
                  <c:v>1.2579100863919002</c:v>
                </c:pt>
                <c:pt idx="5">
                  <c:v>7.2571505666486775</c:v>
                </c:pt>
                <c:pt idx="6">
                  <c:v>3.558254200146092</c:v>
                </c:pt>
                <c:pt idx="7">
                  <c:v>2.5388625369839852</c:v>
                </c:pt>
                <c:pt idx="8">
                  <c:v>0.81966266173752311</c:v>
                </c:pt>
              </c:numCache>
            </c:numRef>
          </c:xVal>
          <c:yVal>
            <c:numRef>
              <c:f>'EUI for heatingcooling (2)'!$X$9:$X$17</c:f>
              <c:numCache>
                <c:formatCode>0.00</c:formatCode>
                <c:ptCount val="9"/>
                <c:pt idx="0">
                  <c:v>14.892501310959622</c:v>
                </c:pt>
                <c:pt idx="1">
                  <c:v>11.359060402684564</c:v>
                </c:pt>
                <c:pt idx="2">
                  <c:v>27.178800856531041</c:v>
                </c:pt>
                <c:pt idx="3">
                  <c:v>16.575168918918919</c:v>
                </c:pt>
                <c:pt idx="4">
                  <c:v>9.2438811188811183</c:v>
                </c:pt>
                <c:pt idx="5">
                  <c:v>24.113592500689279</c:v>
                </c:pt>
                <c:pt idx="6">
                  <c:v>22.901318781264212</c:v>
                </c:pt>
                <c:pt idx="7">
                  <c:v>14.604890604890599</c:v>
                </c:pt>
                <c:pt idx="8">
                  <c:v>8.4819803421914806</c:v>
                </c:pt>
              </c:numCache>
            </c:numRef>
          </c:yVal>
        </c:ser>
        <c:axId val="124519168"/>
        <c:axId val="124520704"/>
      </c:scatterChart>
      <c:valAx>
        <c:axId val="124519168"/>
        <c:scaling>
          <c:orientation val="minMax"/>
        </c:scaling>
        <c:axPos val="b"/>
        <c:numFmt formatCode="0.0" sourceLinked="1"/>
        <c:tickLblPos val="nextTo"/>
        <c:crossAx val="124520704"/>
        <c:crosses val="autoZero"/>
        <c:crossBetween val="midCat"/>
        <c:majorUnit val="1.5"/>
      </c:valAx>
      <c:valAx>
        <c:axId val="124520704"/>
        <c:scaling>
          <c:orientation val="minMax"/>
        </c:scaling>
        <c:axPos val="l"/>
        <c:majorGridlines/>
        <c:numFmt formatCode="0" sourceLinked="0"/>
        <c:tickLblPos val="nextTo"/>
        <c:crossAx val="124519168"/>
        <c:crosses val="autoZero"/>
        <c:crossBetween val="midCat"/>
      </c:valAx>
      <c:spPr>
        <a:noFill/>
        <a:ln w="25400">
          <a:noFill/>
        </a:ln>
      </c:spPr>
    </c:plotArea>
    <c:plotVisOnly val="1"/>
  </c:chart>
  <c:printSettings>
    <c:headerFooter/>
    <c:pageMargins b="0.750000000000004" l="0.70000000000000062" r="0.70000000000000062" t="0.750000000000004"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2383552055993063"/>
          <c:y val="8.0310662396591001E-2"/>
          <c:w val="0.84560892388451825"/>
          <c:h val="0.62254637249878775"/>
        </c:manualLayout>
      </c:layout>
      <c:barChart>
        <c:barDir val="col"/>
        <c:grouping val="clustered"/>
        <c:ser>
          <c:idx val="0"/>
          <c:order val="0"/>
          <c:tx>
            <c:v>Total H/C site energy use per household</c:v>
          </c:tx>
          <c:cat>
            <c:strRef>
              <c:f>'EUI for heatingcooling (2)'!$D$9:$D$21</c:f>
              <c:strCache>
                <c:ptCount val="13"/>
                <c:pt idx="0">
                  <c:v>Belchertown</c:v>
                </c:pt>
                <c:pt idx="1">
                  <c:v>Belmont</c:v>
                </c:pt>
                <c:pt idx="2">
                  <c:v>Millbury</c:v>
                </c:pt>
                <c:pt idx="3">
                  <c:v>Milton</c:v>
                </c:pt>
                <c:pt idx="4">
                  <c:v>Quincy</c:v>
                </c:pt>
                <c:pt idx="5">
                  <c:v>Arlington</c:v>
                </c:pt>
                <c:pt idx="6">
                  <c:v>Newton</c:v>
                </c:pt>
                <c:pt idx="7">
                  <c:v>Jamaica Plain</c:v>
                </c:pt>
                <c:pt idx="8">
                  <c:v>Northampton</c:v>
                </c:pt>
                <c:pt idx="9">
                  <c:v>Lancaster</c:v>
                </c:pt>
                <c:pt idx="10">
                  <c:v>Brookline</c:v>
                </c:pt>
                <c:pt idx="11">
                  <c:v>Westford</c:v>
                </c:pt>
                <c:pt idx="12">
                  <c:v>Gloucester</c:v>
                </c:pt>
              </c:strCache>
            </c:strRef>
          </c:cat>
          <c:val>
            <c:numRef>
              <c:f>('EUI for heatingcooling (2)'!$AP$9:$AP$17,'EUI for heatingcooling (2)'!$AC$18:$AC$21)</c:f>
              <c:numCache>
                <c:formatCode>General</c:formatCode>
                <c:ptCount val="13"/>
                <c:pt idx="0">
                  <c:v>24.650000000000002</c:v>
                </c:pt>
                <c:pt idx="1">
                  <c:v>14.92</c:v>
                </c:pt>
                <c:pt idx="2">
                  <c:v>16.96</c:v>
                </c:pt>
                <c:pt idx="3">
                  <c:v>23.950000000000003</c:v>
                </c:pt>
                <c:pt idx="4">
                  <c:v>24.93</c:v>
                </c:pt>
                <c:pt idx="5">
                  <c:v>25.474999999999998</c:v>
                </c:pt>
                <c:pt idx="6">
                  <c:v>35.08</c:v>
                </c:pt>
                <c:pt idx="7">
                  <c:v>16.079999999999998</c:v>
                </c:pt>
                <c:pt idx="8">
                  <c:v>6.9499999999999993</c:v>
                </c:pt>
                <c:pt idx="9" formatCode="0.00">
                  <c:v>2.4600000000000044</c:v>
                </c:pt>
                <c:pt idx="10" formatCode="0.00">
                  <c:v>14.419999999999998</c:v>
                </c:pt>
                <c:pt idx="11" formatCode="0.00">
                  <c:v>31.279999999999994</c:v>
                </c:pt>
                <c:pt idx="12" formatCode="0.00">
                  <c:v>4.7300000000000004</c:v>
                </c:pt>
              </c:numCache>
            </c:numRef>
          </c:val>
        </c:ser>
        <c:ser>
          <c:idx val="1"/>
          <c:order val="1"/>
          <c:tx>
            <c:v>Total H/C source energy use per household</c:v>
          </c:tx>
          <c:cat>
            <c:strRef>
              <c:f>'EUI for heatingcooling (2)'!$D$9:$D$21</c:f>
              <c:strCache>
                <c:ptCount val="13"/>
                <c:pt idx="0">
                  <c:v>Belchertown</c:v>
                </c:pt>
                <c:pt idx="1">
                  <c:v>Belmont</c:v>
                </c:pt>
                <c:pt idx="2">
                  <c:v>Millbury</c:v>
                </c:pt>
                <c:pt idx="3">
                  <c:v>Milton</c:v>
                </c:pt>
                <c:pt idx="4">
                  <c:v>Quincy</c:v>
                </c:pt>
                <c:pt idx="5">
                  <c:v>Arlington</c:v>
                </c:pt>
                <c:pt idx="6">
                  <c:v>Newton</c:v>
                </c:pt>
                <c:pt idx="7">
                  <c:v>Jamaica Plain</c:v>
                </c:pt>
                <c:pt idx="8">
                  <c:v>Northampton</c:v>
                </c:pt>
                <c:pt idx="9">
                  <c:v>Lancaster</c:v>
                </c:pt>
                <c:pt idx="10">
                  <c:v>Brookline</c:v>
                </c:pt>
                <c:pt idx="11">
                  <c:v>Westford</c:v>
                </c:pt>
                <c:pt idx="12">
                  <c:v>Gloucester</c:v>
                </c:pt>
              </c:strCache>
            </c:strRef>
          </c:cat>
          <c:val>
            <c:numRef>
              <c:f>('EUI for heatingcooling (2)'!$AQ$9:$AQ$17,'EUI for heatingcooling (2)'!$AD$18:$AD$21)</c:f>
              <c:numCache>
                <c:formatCode>General</c:formatCode>
                <c:ptCount val="13"/>
                <c:pt idx="0">
                  <c:v>28.4</c:v>
                </c:pt>
                <c:pt idx="1">
                  <c:v>27.08</c:v>
                </c:pt>
                <c:pt idx="2">
                  <c:v>50.769999999999982</c:v>
                </c:pt>
                <c:pt idx="3">
                  <c:v>39.25</c:v>
                </c:pt>
                <c:pt idx="4">
                  <c:v>42.3</c:v>
                </c:pt>
                <c:pt idx="5">
                  <c:v>43.730000000000004</c:v>
                </c:pt>
                <c:pt idx="6">
                  <c:v>50.36</c:v>
                </c:pt>
                <c:pt idx="7">
                  <c:v>18.913333333333327</c:v>
                </c:pt>
                <c:pt idx="8">
                  <c:v>23.299999999999997</c:v>
                </c:pt>
                <c:pt idx="9" formatCode="0.00">
                  <c:v>8.1499999999999986</c:v>
                </c:pt>
                <c:pt idx="10" formatCode="0.00">
                  <c:v>17.21</c:v>
                </c:pt>
                <c:pt idx="11" formatCode="0.00">
                  <c:v>44.69</c:v>
                </c:pt>
                <c:pt idx="12" formatCode="0.00">
                  <c:v>15.840000000000003</c:v>
                </c:pt>
              </c:numCache>
            </c:numRef>
          </c:val>
        </c:ser>
        <c:axId val="124548992"/>
        <c:axId val="124550528"/>
      </c:barChart>
      <c:catAx>
        <c:axId val="124548992"/>
        <c:scaling>
          <c:orientation val="minMax"/>
        </c:scaling>
        <c:axPos val="b"/>
        <c:tickLblPos val="nextTo"/>
        <c:crossAx val="124550528"/>
        <c:crosses val="autoZero"/>
        <c:auto val="1"/>
        <c:lblAlgn val="ctr"/>
        <c:lblOffset val="100"/>
      </c:catAx>
      <c:valAx>
        <c:axId val="124550528"/>
        <c:scaling>
          <c:orientation val="minMax"/>
          <c:max val="60"/>
          <c:min val="0"/>
        </c:scaling>
        <c:axPos val="l"/>
        <c:majorGridlines/>
        <c:numFmt formatCode="0" sourceLinked="0"/>
        <c:tickLblPos val="nextTo"/>
        <c:crossAx val="124548992"/>
        <c:crosses val="autoZero"/>
        <c:crossBetween val="between"/>
      </c:valAx>
    </c:plotArea>
    <c:legend>
      <c:legendPos val="b"/>
      <c:layout/>
    </c:legend>
    <c:plotVisOnly val="1"/>
  </c:chart>
  <c:printSettings>
    <c:headerFooter/>
    <c:pageMargins b="0.75000000000000311" l="0.70000000000000062" r="0.70000000000000062" t="0.75000000000000311"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1134798775153107"/>
          <c:y val="0.11157770205717532"/>
          <c:w val="0.85809645669291734"/>
          <c:h val="0.53385618880410157"/>
        </c:manualLayout>
      </c:layout>
      <c:barChart>
        <c:barDir val="col"/>
        <c:grouping val="stacked"/>
        <c:ser>
          <c:idx val="0"/>
          <c:order val="0"/>
          <c:tx>
            <c:v>post-retrofit 6 month H/C source kBtu/sf</c:v>
          </c:tx>
          <c:spPr>
            <a:solidFill>
              <a:schemeClr val="accent2"/>
            </a:solidFill>
            <a:ln>
              <a:solidFill>
                <a:srgbClr val="C00000"/>
              </a:solidFill>
            </a:ln>
          </c:spPr>
          <c:cat>
            <c:strRef>
              <c:f>'EUI for heatingcooling (2)'!$D$9:$D$21</c:f>
              <c:strCache>
                <c:ptCount val="13"/>
                <c:pt idx="0">
                  <c:v>Belchertown</c:v>
                </c:pt>
                <c:pt idx="1">
                  <c:v>Belmont</c:v>
                </c:pt>
                <c:pt idx="2">
                  <c:v>Millbury</c:v>
                </c:pt>
                <c:pt idx="3">
                  <c:v>Milton</c:v>
                </c:pt>
                <c:pt idx="4">
                  <c:v>Quincy</c:v>
                </c:pt>
                <c:pt idx="5">
                  <c:v>Arlington</c:v>
                </c:pt>
                <c:pt idx="6">
                  <c:v>Newton</c:v>
                </c:pt>
                <c:pt idx="7">
                  <c:v>Jamaica Plain</c:v>
                </c:pt>
                <c:pt idx="8">
                  <c:v>Northampton</c:v>
                </c:pt>
                <c:pt idx="9">
                  <c:v>Lancaster</c:v>
                </c:pt>
                <c:pt idx="10">
                  <c:v>Brookline</c:v>
                </c:pt>
                <c:pt idx="11">
                  <c:v>Westford</c:v>
                </c:pt>
                <c:pt idx="12">
                  <c:v>Gloucester</c:v>
                </c:pt>
              </c:strCache>
            </c:strRef>
          </c:cat>
          <c:val>
            <c:numRef>
              <c:f>'EUI for heatingcooling (2)'!$AF$9:$AF$21</c:f>
              <c:numCache>
                <c:formatCode>0.00</c:formatCode>
                <c:ptCount val="13"/>
                <c:pt idx="0">
                  <c:v>5.3959098059779755</c:v>
                </c:pt>
                <c:pt idx="1">
                  <c:v>6.0255872483221484</c:v>
                </c:pt>
                <c:pt idx="2">
                  <c:v>12.537473233404709</c:v>
                </c:pt>
                <c:pt idx="3">
                  <c:v>6.7989864864864868</c:v>
                </c:pt>
                <c:pt idx="4">
                  <c:v>4.5432692307692308</c:v>
                </c:pt>
                <c:pt idx="5">
                  <c:v>7.4882823269920031</c:v>
                </c:pt>
                <c:pt idx="6">
                  <c:v>8.1491587085038653</c:v>
                </c:pt>
                <c:pt idx="7">
                  <c:v>6.960102960102958</c:v>
                </c:pt>
                <c:pt idx="8">
                  <c:v>3.3236257735711692</c:v>
                </c:pt>
                <c:pt idx="9">
                  <c:v>5.6597222222222205</c:v>
                </c:pt>
                <c:pt idx="10">
                  <c:v>5.4221802142407061</c:v>
                </c:pt>
                <c:pt idx="11">
                  <c:v>11.299620733249052</c:v>
                </c:pt>
                <c:pt idx="12">
                  <c:v>6.534653465346536</c:v>
                </c:pt>
              </c:numCache>
            </c:numRef>
          </c:val>
        </c:ser>
        <c:ser>
          <c:idx val="1"/>
          <c:order val="1"/>
          <c:tx>
            <c:v>post retrofit 12 month H/C source kBtu/sf </c:v>
          </c:tx>
          <c:spPr>
            <a:noFill/>
            <a:ln>
              <a:solidFill>
                <a:srgbClr val="C00000"/>
              </a:solidFill>
            </a:ln>
          </c:spPr>
          <c:val>
            <c:numRef>
              <c:f>'EUI for heatingcooling (2)'!$AG$9:$AG$21</c:f>
              <c:numCache>
                <c:formatCode>0.00</c:formatCode>
                <c:ptCount val="13"/>
                <c:pt idx="0">
                  <c:v>9.4965915049816463</c:v>
                </c:pt>
                <c:pt idx="1">
                  <c:v>5.3334731543624159</c:v>
                </c:pt>
                <c:pt idx="2">
                  <c:v>14.641327623126331</c:v>
                </c:pt>
                <c:pt idx="3">
                  <c:v>9.7761824324324316</c:v>
                </c:pt>
                <c:pt idx="4">
                  <c:v>4.7006118881118875</c:v>
                </c:pt>
                <c:pt idx="5">
                  <c:v>16.625310173697276</c:v>
                </c:pt>
                <c:pt idx="6">
                  <c:v>14.752160072760347</c:v>
                </c:pt>
                <c:pt idx="7">
                  <c:v>7.6447876447876411</c:v>
                </c:pt>
                <c:pt idx="8">
                  <c:v>5.1583545686203109</c:v>
                </c:pt>
                <c:pt idx="9">
                  <c:v>0</c:v>
                </c:pt>
                <c:pt idx="10">
                  <c:v>0</c:v>
                </c:pt>
                <c:pt idx="11">
                  <c:v>0</c:v>
                </c:pt>
                <c:pt idx="12">
                  <c:v>0</c:v>
                </c:pt>
              </c:numCache>
            </c:numRef>
          </c:val>
        </c:ser>
        <c:overlap val="100"/>
        <c:axId val="124633088"/>
        <c:axId val="124634624"/>
      </c:barChart>
      <c:catAx>
        <c:axId val="124633088"/>
        <c:scaling>
          <c:orientation val="minMax"/>
        </c:scaling>
        <c:axPos val="b"/>
        <c:tickLblPos val="nextTo"/>
        <c:crossAx val="124634624"/>
        <c:crosses val="autoZero"/>
        <c:auto val="1"/>
        <c:lblAlgn val="ctr"/>
        <c:lblOffset val="100"/>
      </c:catAx>
      <c:valAx>
        <c:axId val="124634624"/>
        <c:scaling>
          <c:orientation val="minMax"/>
        </c:scaling>
        <c:axPos val="l"/>
        <c:majorGridlines/>
        <c:numFmt formatCode="0" sourceLinked="0"/>
        <c:tickLblPos val="nextTo"/>
        <c:crossAx val="124633088"/>
        <c:crosses val="autoZero"/>
        <c:crossBetween val="between"/>
      </c:valAx>
    </c:plotArea>
    <c:legend>
      <c:legendPos val="b"/>
      <c:layout>
        <c:manualLayout>
          <c:xMode val="edge"/>
          <c:yMode val="edge"/>
          <c:x val="0.2242298775153107"/>
          <c:y val="0.8391035663505676"/>
          <c:w val="0.61265135608049315"/>
          <c:h val="0.15212006350774929"/>
        </c:manualLayout>
      </c:layout>
    </c:legend>
    <c:plotVisOnly val="1"/>
  </c:chart>
  <c:printSettings>
    <c:headerFooter/>
    <c:pageMargins b="0.75000000000000377" l="0.70000000000000062" r="0.70000000000000062" t="0.75000000000000377"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percentStacked"/>
        <c:ser>
          <c:idx val="1"/>
          <c:order val="0"/>
          <c:tx>
            <c:v>12 mo H/C source energy use</c:v>
          </c:tx>
          <c:dLbls>
            <c:dLbl>
              <c:idx val="0"/>
              <c:tx>
                <c:rich>
                  <a:bodyPr/>
                  <a:lstStyle/>
                  <a:p>
                    <a:r>
                      <a:rPr lang="en-US"/>
                      <a:t>54%</a:t>
                    </a:r>
                  </a:p>
                </c:rich>
              </c:tx>
              <c:showVal val="1"/>
            </c:dLbl>
            <c:dLbl>
              <c:idx val="1"/>
              <c:tx>
                <c:rich>
                  <a:bodyPr/>
                  <a:lstStyle/>
                  <a:p>
                    <a:r>
                      <a:rPr lang="en-US"/>
                      <a:t>36%</a:t>
                    </a:r>
                  </a:p>
                </c:rich>
              </c:tx>
              <c:showVal val="1"/>
            </c:dLbl>
            <c:dLbl>
              <c:idx val="2"/>
              <c:tx>
                <c:rich>
                  <a:bodyPr/>
                  <a:lstStyle/>
                  <a:p>
                    <a:r>
                      <a:rPr lang="en-US"/>
                      <a:t>39%</a:t>
                    </a:r>
                  </a:p>
                </c:rich>
              </c:tx>
              <c:showVal val="1"/>
            </c:dLbl>
            <c:dLbl>
              <c:idx val="3"/>
              <c:tx>
                <c:rich>
                  <a:bodyPr/>
                  <a:lstStyle/>
                  <a:p>
                    <a:r>
                      <a:rPr lang="en-US"/>
                      <a:t>36%</a:t>
                    </a:r>
                  </a:p>
                </c:rich>
              </c:tx>
              <c:showVal val="1"/>
            </c:dLbl>
            <c:dLbl>
              <c:idx val="4"/>
              <c:tx>
                <c:rich>
                  <a:bodyPr/>
                  <a:lstStyle/>
                  <a:p>
                    <a:r>
                      <a:rPr lang="en-US"/>
                      <a:t>30%</a:t>
                    </a:r>
                  </a:p>
                </c:rich>
              </c:tx>
              <c:showVal val="1"/>
            </c:dLbl>
            <c:dLbl>
              <c:idx val="5"/>
              <c:tx>
                <c:rich>
                  <a:bodyPr/>
                  <a:lstStyle/>
                  <a:p>
                    <a:r>
                      <a:rPr lang="en-US"/>
                      <a:t>40%</a:t>
                    </a:r>
                  </a:p>
                </c:rich>
              </c:tx>
              <c:showVal val="1"/>
            </c:dLbl>
            <c:dLbl>
              <c:idx val="6"/>
              <c:tx>
                <c:rich>
                  <a:bodyPr/>
                  <a:lstStyle/>
                  <a:p>
                    <a:r>
                      <a:rPr lang="en-US"/>
                      <a:t>40%</a:t>
                    </a:r>
                  </a:p>
                </c:rich>
              </c:tx>
              <c:showVal val="1"/>
            </c:dLbl>
            <c:dLbl>
              <c:idx val="7"/>
              <c:tx>
                <c:rich>
                  <a:bodyPr/>
                  <a:lstStyle/>
                  <a:p>
                    <a:r>
                      <a:rPr lang="en-US"/>
                      <a:t>37%</a:t>
                    </a:r>
                  </a:p>
                </c:rich>
              </c:tx>
              <c:showVal val="1"/>
            </c:dLbl>
            <c:dLbl>
              <c:idx val="8"/>
              <c:tx>
                <c:rich>
                  <a:bodyPr/>
                  <a:lstStyle/>
                  <a:p>
                    <a:r>
                      <a:rPr lang="en-US"/>
                      <a:t>27%</a:t>
                    </a:r>
                  </a:p>
                </c:rich>
              </c:tx>
              <c:showVal val="1"/>
            </c:dLbl>
            <c:dLbl>
              <c:idx val="9"/>
              <c:delete val="1"/>
            </c:dLbl>
            <c:dLbl>
              <c:idx val="10"/>
              <c:delete val="1"/>
            </c:dLbl>
            <c:dLbl>
              <c:idx val="11"/>
              <c:delete val="1"/>
            </c:dLbl>
            <c:dLbl>
              <c:idx val="12"/>
              <c:delete val="1"/>
            </c:dLbl>
            <c:showVal val="1"/>
          </c:dLbls>
          <c:cat>
            <c:strRef>
              <c:f>'EUI for heatingcooling (2)'!$D$9:$D$21</c:f>
              <c:strCache>
                <c:ptCount val="13"/>
                <c:pt idx="0">
                  <c:v>Belchertown</c:v>
                </c:pt>
                <c:pt idx="1">
                  <c:v>Belmont</c:v>
                </c:pt>
                <c:pt idx="2">
                  <c:v>Millbury</c:v>
                </c:pt>
                <c:pt idx="3">
                  <c:v>Milton</c:v>
                </c:pt>
                <c:pt idx="4">
                  <c:v>Quincy</c:v>
                </c:pt>
                <c:pt idx="5">
                  <c:v>Arlington</c:v>
                </c:pt>
                <c:pt idx="6">
                  <c:v>Newton</c:v>
                </c:pt>
                <c:pt idx="7">
                  <c:v>Jamaica Plain</c:v>
                </c:pt>
                <c:pt idx="8">
                  <c:v>Northampton</c:v>
                </c:pt>
                <c:pt idx="9">
                  <c:v>Lancaster</c:v>
                </c:pt>
                <c:pt idx="10">
                  <c:v>Brookline</c:v>
                </c:pt>
                <c:pt idx="11">
                  <c:v>Westford</c:v>
                </c:pt>
                <c:pt idx="12">
                  <c:v>Gloucester</c:v>
                </c:pt>
              </c:strCache>
            </c:strRef>
          </c:cat>
          <c:val>
            <c:numRef>
              <c:f>'EUI for heatingcooling (2)'!$V$9:$V$21</c:f>
              <c:numCache>
                <c:formatCode>0.00</c:formatCode>
                <c:ptCount val="13"/>
                <c:pt idx="0">
                  <c:v>28.4</c:v>
                </c:pt>
                <c:pt idx="1">
                  <c:v>54.16</c:v>
                </c:pt>
                <c:pt idx="2">
                  <c:v>50.769999999999982</c:v>
                </c:pt>
                <c:pt idx="3">
                  <c:v>39.25</c:v>
                </c:pt>
                <c:pt idx="4">
                  <c:v>42.3</c:v>
                </c:pt>
                <c:pt idx="5">
                  <c:v>87.460000000000008</c:v>
                </c:pt>
                <c:pt idx="6">
                  <c:v>50.36</c:v>
                </c:pt>
                <c:pt idx="7">
                  <c:v>56.739999999999981</c:v>
                </c:pt>
                <c:pt idx="8">
                  <c:v>23.299999999999997</c:v>
                </c:pt>
                <c:pt idx="9">
                  <c:v>0</c:v>
                </c:pt>
                <c:pt idx="10">
                  <c:v>0</c:v>
                </c:pt>
                <c:pt idx="11">
                  <c:v>0</c:v>
                </c:pt>
                <c:pt idx="12">
                  <c:v>0</c:v>
                </c:pt>
              </c:numCache>
            </c:numRef>
          </c:val>
        </c:ser>
        <c:ser>
          <c:idx val="0"/>
          <c:order val="1"/>
          <c:tx>
            <c:v>12 mo non H/C source energy use</c:v>
          </c:tx>
          <c:cat>
            <c:strRef>
              <c:f>'EUI for heatingcooling (2)'!$D$9:$D$21</c:f>
              <c:strCache>
                <c:ptCount val="13"/>
                <c:pt idx="0">
                  <c:v>Belchertown</c:v>
                </c:pt>
                <c:pt idx="1">
                  <c:v>Belmont</c:v>
                </c:pt>
                <c:pt idx="2">
                  <c:v>Millbury</c:v>
                </c:pt>
                <c:pt idx="3">
                  <c:v>Milton</c:v>
                </c:pt>
                <c:pt idx="4">
                  <c:v>Quincy</c:v>
                </c:pt>
                <c:pt idx="5">
                  <c:v>Arlington</c:v>
                </c:pt>
                <c:pt idx="6">
                  <c:v>Newton</c:v>
                </c:pt>
                <c:pt idx="7">
                  <c:v>Jamaica Plain</c:v>
                </c:pt>
                <c:pt idx="8">
                  <c:v>Northampton</c:v>
                </c:pt>
                <c:pt idx="9">
                  <c:v>Lancaster</c:v>
                </c:pt>
                <c:pt idx="10">
                  <c:v>Brookline</c:v>
                </c:pt>
                <c:pt idx="11">
                  <c:v>Westford</c:v>
                </c:pt>
                <c:pt idx="12">
                  <c:v>Gloucester</c:v>
                </c:pt>
              </c:strCache>
            </c:strRef>
          </c:cat>
          <c:val>
            <c:numRef>
              <c:f>'EUI for heatingcooling (2)'!$AN$9:$AN$21</c:f>
              <c:numCache>
                <c:formatCode>0.00</c:formatCode>
                <c:ptCount val="13"/>
                <c:pt idx="0">
                  <c:v>24</c:v>
                </c:pt>
                <c:pt idx="1">
                  <c:v>97.32</c:v>
                </c:pt>
                <c:pt idx="2">
                  <c:v>78.960000000000008</c:v>
                </c:pt>
                <c:pt idx="3">
                  <c:v>68.88</c:v>
                </c:pt>
                <c:pt idx="4">
                  <c:v>97.92</c:v>
                </c:pt>
                <c:pt idx="5">
                  <c:v>129.12</c:v>
                </c:pt>
                <c:pt idx="6">
                  <c:v>75</c:v>
                </c:pt>
                <c:pt idx="7">
                  <c:v>96.960000000000008</c:v>
                </c:pt>
                <c:pt idx="8">
                  <c:v>64.44</c:v>
                </c:pt>
                <c:pt idx="9">
                  <c:v>0</c:v>
                </c:pt>
                <c:pt idx="10">
                  <c:v>0</c:v>
                </c:pt>
                <c:pt idx="11">
                  <c:v>0</c:v>
                </c:pt>
                <c:pt idx="12">
                  <c:v>0</c:v>
                </c:pt>
              </c:numCache>
            </c:numRef>
          </c:val>
        </c:ser>
        <c:overlap val="100"/>
        <c:axId val="125343616"/>
        <c:axId val="125345152"/>
      </c:barChart>
      <c:catAx>
        <c:axId val="125343616"/>
        <c:scaling>
          <c:orientation val="minMax"/>
        </c:scaling>
        <c:axPos val="b"/>
        <c:tickLblPos val="nextTo"/>
        <c:crossAx val="125345152"/>
        <c:crosses val="autoZero"/>
        <c:auto val="1"/>
        <c:lblAlgn val="ctr"/>
        <c:lblOffset val="100"/>
      </c:catAx>
      <c:valAx>
        <c:axId val="125345152"/>
        <c:scaling>
          <c:orientation val="minMax"/>
        </c:scaling>
        <c:axPos val="l"/>
        <c:majorGridlines/>
        <c:numFmt formatCode="0%" sourceLinked="1"/>
        <c:tickLblPos val="nextTo"/>
        <c:crossAx val="125343616"/>
        <c:crosses val="autoZero"/>
        <c:crossBetween val="between"/>
        <c:majorUnit val="0.1"/>
      </c:valAx>
    </c:plotArea>
    <c:legend>
      <c:legendPos val="b"/>
    </c:legend>
    <c:plotVisOnly val="1"/>
  </c:chart>
  <c:printSettings>
    <c:headerFooter/>
    <c:pageMargins b="0.75000000000000422" l="0.70000000000000062" r="0.70000000000000062" t="0.750000000000004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0006766151398216"/>
          <c:y val="4.2349908964082167E-2"/>
          <c:w val="0.87915802309414193"/>
          <c:h val="0.63247019800137394"/>
        </c:manualLayout>
      </c:layout>
      <c:barChart>
        <c:barDir val="col"/>
        <c:grouping val="stacked"/>
        <c:ser>
          <c:idx val="0"/>
          <c:order val="0"/>
          <c:tx>
            <c:strRef>
              <c:f>'Pre - Post with Fuels'!$V$26</c:f>
              <c:strCache>
                <c:ptCount val="1"/>
                <c:pt idx="0">
                  <c:v>electricity</c:v>
                </c:pt>
              </c:strCache>
            </c:strRef>
          </c:tx>
          <c:spPr>
            <a:solidFill>
              <a:srgbClr val="FFFF00"/>
            </a:solidFill>
            <a:ln>
              <a:solidFill>
                <a:schemeClr val="tx1"/>
              </a:solidFill>
              <a:prstDash val="lgDash"/>
            </a:ln>
          </c:spPr>
          <c:dPt>
            <c:idx val="4"/>
            <c:spPr>
              <a:solidFill>
                <a:srgbClr val="FFFF00"/>
              </a:solidFill>
              <a:ln w="12700">
                <a:solidFill>
                  <a:srgbClr val="FF0000"/>
                </a:solidFill>
                <a:prstDash val="lgDash"/>
              </a:ln>
            </c:spPr>
          </c:dPt>
          <c:dPt>
            <c:idx val="10"/>
            <c:spPr>
              <a:solidFill>
                <a:srgbClr val="FFFF00"/>
              </a:solidFill>
              <a:ln w="12700">
                <a:solidFill>
                  <a:srgbClr val="FF0000"/>
                </a:solidFill>
                <a:prstDash val="lgDash"/>
              </a:ln>
            </c:spPr>
          </c:dPt>
          <c:dPt>
            <c:idx val="16"/>
            <c:spPr>
              <a:solidFill>
                <a:srgbClr val="FFFF00"/>
              </a:solidFill>
              <a:ln w="12700">
                <a:solidFill>
                  <a:srgbClr val="FF0000"/>
                </a:solidFill>
                <a:prstDash val="lgDash"/>
              </a:ln>
            </c:spPr>
          </c:dPt>
          <c:dPt>
            <c:idx val="28"/>
            <c:spPr>
              <a:solidFill>
                <a:srgbClr val="FFFF00"/>
              </a:solidFill>
              <a:ln w="12700">
                <a:solidFill>
                  <a:srgbClr val="FF0000"/>
                </a:solidFill>
                <a:prstDash val="lgDash"/>
              </a:ln>
            </c:spPr>
          </c:dPt>
          <c:val>
            <c:numRef>
              <c:f>'Pre - Post with Fuels'!$V$27:$V$66</c:f>
              <c:numCache>
                <c:formatCode>General</c:formatCode>
                <c:ptCount val="40"/>
                <c:pt idx="1">
                  <c:v>24.38</c:v>
                </c:pt>
                <c:pt idx="4">
                  <c:v>100.44</c:v>
                </c:pt>
                <c:pt idx="7">
                  <c:v>89.02</c:v>
                </c:pt>
                <c:pt idx="10">
                  <c:v>92.18</c:v>
                </c:pt>
                <c:pt idx="13">
                  <c:v>143.13999999999999</c:v>
                </c:pt>
                <c:pt idx="16">
                  <c:v>101.07</c:v>
                </c:pt>
                <c:pt idx="19">
                  <c:v>87.08</c:v>
                </c:pt>
                <c:pt idx="22">
                  <c:v>81.98</c:v>
                </c:pt>
                <c:pt idx="25">
                  <c:v>50.65</c:v>
                </c:pt>
                <c:pt idx="28" formatCode="0.00">
                  <c:v>64.38</c:v>
                </c:pt>
                <c:pt idx="31" formatCode="0.00">
                  <c:v>37.44</c:v>
                </c:pt>
                <c:pt idx="34" formatCode="0.00">
                  <c:v>111.29</c:v>
                </c:pt>
                <c:pt idx="37" formatCode="0.00">
                  <c:v>73.28</c:v>
                </c:pt>
              </c:numCache>
            </c:numRef>
          </c:val>
        </c:ser>
        <c:ser>
          <c:idx val="1"/>
          <c:order val="1"/>
          <c:tx>
            <c:strRef>
              <c:f>'Pre - Post with Fuels'!$W$26</c:f>
              <c:strCache>
                <c:ptCount val="1"/>
                <c:pt idx="0">
                  <c:v>gas/propane</c:v>
                </c:pt>
              </c:strCache>
            </c:strRef>
          </c:tx>
          <c:spPr>
            <a:solidFill>
              <a:schemeClr val="tx2">
                <a:lumMod val="40000"/>
                <a:lumOff val="60000"/>
              </a:schemeClr>
            </a:solidFill>
            <a:ln>
              <a:solidFill>
                <a:prstClr val="black"/>
              </a:solidFill>
              <a:prstDash val="lgDash"/>
            </a:ln>
          </c:spPr>
          <c:dPt>
            <c:idx val="4"/>
            <c:spPr>
              <a:solidFill>
                <a:schemeClr val="tx2">
                  <a:lumMod val="40000"/>
                  <a:lumOff val="60000"/>
                </a:schemeClr>
              </a:solidFill>
              <a:ln>
                <a:solidFill>
                  <a:srgbClr val="FF0000"/>
                </a:solidFill>
                <a:prstDash val="lgDash"/>
              </a:ln>
            </c:spPr>
          </c:dPt>
          <c:dPt>
            <c:idx val="10"/>
            <c:spPr>
              <a:solidFill>
                <a:schemeClr val="tx2">
                  <a:lumMod val="40000"/>
                  <a:lumOff val="60000"/>
                </a:schemeClr>
              </a:solidFill>
              <a:ln w="12700">
                <a:solidFill>
                  <a:srgbClr val="FF0000"/>
                </a:solidFill>
                <a:prstDash val="lgDash"/>
              </a:ln>
            </c:spPr>
          </c:dPt>
          <c:dPt>
            <c:idx val="16"/>
            <c:spPr>
              <a:solidFill>
                <a:schemeClr val="tx2">
                  <a:lumMod val="40000"/>
                  <a:lumOff val="60000"/>
                </a:schemeClr>
              </a:solidFill>
              <a:ln w="12700">
                <a:solidFill>
                  <a:srgbClr val="FF0000"/>
                </a:solidFill>
                <a:prstDash val="lgDash"/>
              </a:ln>
            </c:spPr>
          </c:dPt>
          <c:dPt>
            <c:idx val="28"/>
            <c:spPr>
              <a:solidFill>
                <a:schemeClr val="tx2">
                  <a:lumMod val="40000"/>
                  <a:lumOff val="60000"/>
                </a:schemeClr>
              </a:solidFill>
              <a:ln w="12700">
                <a:solidFill>
                  <a:srgbClr val="FF0000"/>
                </a:solidFill>
                <a:prstDash val="lgDash"/>
              </a:ln>
            </c:spPr>
          </c:dPt>
          <c:val>
            <c:numRef>
              <c:f>'Pre - Post with Fuels'!$W$27:$W$66</c:f>
              <c:numCache>
                <c:formatCode>General</c:formatCode>
                <c:ptCount val="40"/>
                <c:pt idx="1">
                  <c:v>14.99</c:v>
                </c:pt>
                <c:pt idx="4">
                  <c:v>32.35</c:v>
                </c:pt>
                <c:pt idx="7">
                  <c:v>0</c:v>
                </c:pt>
                <c:pt idx="10">
                  <c:v>94.54</c:v>
                </c:pt>
                <c:pt idx="13">
                  <c:v>0</c:v>
                </c:pt>
                <c:pt idx="16">
                  <c:v>376.82</c:v>
                </c:pt>
                <c:pt idx="19">
                  <c:v>127.94</c:v>
                </c:pt>
                <c:pt idx="22">
                  <c:v>186.47</c:v>
                </c:pt>
                <c:pt idx="25">
                  <c:v>121.87</c:v>
                </c:pt>
                <c:pt idx="28" formatCode="0.00">
                  <c:v>103.41</c:v>
                </c:pt>
                <c:pt idx="31" formatCode="0.00">
                  <c:v>80.930000000000007</c:v>
                </c:pt>
                <c:pt idx="34" formatCode="0.00">
                  <c:v>184.38</c:v>
                </c:pt>
                <c:pt idx="37" formatCode="0.00">
                  <c:v>0</c:v>
                </c:pt>
              </c:numCache>
            </c:numRef>
          </c:val>
        </c:ser>
        <c:ser>
          <c:idx val="2"/>
          <c:order val="2"/>
          <c:tx>
            <c:strRef>
              <c:f>'Pre - Post with Fuels'!$X$26</c:f>
              <c:strCache>
                <c:ptCount val="1"/>
                <c:pt idx="0">
                  <c:v>oil</c:v>
                </c:pt>
              </c:strCache>
            </c:strRef>
          </c:tx>
          <c:spPr>
            <a:solidFill>
              <a:schemeClr val="tx1">
                <a:lumMod val="50000"/>
                <a:lumOff val="50000"/>
              </a:schemeClr>
            </a:solidFill>
            <a:ln>
              <a:solidFill>
                <a:prstClr val="black"/>
              </a:solidFill>
              <a:prstDash val="lgDash"/>
            </a:ln>
          </c:spPr>
          <c:dPt>
            <c:idx val="4"/>
            <c:spPr>
              <a:solidFill>
                <a:schemeClr val="tx1">
                  <a:lumMod val="50000"/>
                  <a:lumOff val="50000"/>
                </a:schemeClr>
              </a:solidFill>
              <a:ln w="12700">
                <a:solidFill>
                  <a:srgbClr val="C00000"/>
                </a:solidFill>
                <a:prstDash val="lgDash"/>
              </a:ln>
            </c:spPr>
          </c:dPt>
          <c:dPt>
            <c:idx val="13"/>
            <c:spPr>
              <a:solidFill>
                <a:schemeClr val="tx1">
                  <a:lumMod val="50000"/>
                  <a:lumOff val="50000"/>
                </a:schemeClr>
              </a:solidFill>
              <a:ln w="12700">
                <a:solidFill>
                  <a:srgbClr val="FF0000"/>
                </a:solidFill>
                <a:prstDash val="lgDash"/>
              </a:ln>
            </c:spPr>
          </c:dPt>
          <c:val>
            <c:numRef>
              <c:f>'Pre - Post with Fuels'!$X$27:$X$66</c:f>
              <c:numCache>
                <c:formatCode>General</c:formatCode>
                <c:ptCount val="40"/>
                <c:pt idx="1">
                  <c:v>0</c:v>
                </c:pt>
                <c:pt idx="4">
                  <c:v>429.06</c:v>
                </c:pt>
                <c:pt idx="7">
                  <c:v>52.53</c:v>
                </c:pt>
                <c:pt idx="10">
                  <c:v>0</c:v>
                </c:pt>
                <c:pt idx="13">
                  <c:v>182.24</c:v>
                </c:pt>
                <c:pt idx="16">
                  <c:v>0</c:v>
                </c:pt>
                <c:pt idx="19">
                  <c:v>0</c:v>
                </c:pt>
                <c:pt idx="22">
                  <c:v>0</c:v>
                </c:pt>
                <c:pt idx="25">
                  <c:v>0</c:v>
                </c:pt>
                <c:pt idx="28" formatCode="0.00">
                  <c:v>0</c:v>
                </c:pt>
                <c:pt idx="31" formatCode="0.00">
                  <c:v>0</c:v>
                </c:pt>
                <c:pt idx="34" formatCode="0.00">
                  <c:v>0</c:v>
                </c:pt>
                <c:pt idx="37" formatCode="0.00">
                  <c:v>127.61</c:v>
                </c:pt>
              </c:numCache>
            </c:numRef>
          </c:val>
        </c:ser>
        <c:ser>
          <c:idx val="3"/>
          <c:order val="3"/>
          <c:tx>
            <c:strRef>
              <c:f>'Pre - Post with Fuels'!$Y$26</c:f>
              <c:strCache>
                <c:ptCount val="1"/>
                <c:pt idx="0">
                  <c:v>other</c:v>
                </c:pt>
              </c:strCache>
            </c:strRef>
          </c:tx>
          <c:spPr>
            <a:solidFill>
              <a:schemeClr val="accent4">
                <a:lumMod val="40000"/>
                <a:lumOff val="60000"/>
              </a:schemeClr>
            </a:solidFill>
            <a:ln>
              <a:solidFill>
                <a:prstClr val="black"/>
              </a:solidFill>
              <a:prstDash val="lgDash"/>
            </a:ln>
          </c:spPr>
          <c:val>
            <c:numRef>
              <c:f>'Pre - Post with Fuels'!$Y$27:$Y$66</c:f>
              <c:numCache>
                <c:formatCode>General</c:formatCode>
                <c:ptCount val="40"/>
                <c:pt idx="1">
                  <c:v>171.5</c:v>
                </c:pt>
                <c:pt idx="4">
                  <c:v>0</c:v>
                </c:pt>
                <c:pt idx="7">
                  <c:v>46.5</c:v>
                </c:pt>
                <c:pt idx="10">
                  <c:v>0</c:v>
                </c:pt>
                <c:pt idx="13">
                  <c:v>0</c:v>
                </c:pt>
                <c:pt idx="16">
                  <c:v>0</c:v>
                </c:pt>
                <c:pt idx="19">
                  <c:v>0</c:v>
                </c:pt>
                <c:pt idx="22">
                  <c:v>0</c:v>
                </c:pt>
                <c:pt idx="25">
                  <c:v>0</c:v>
                </c:pt>
                <c:pt idx="28" formatCode="0.00">
                  <c:v>0</c:v>
                </c:pt>
                <c:pt idx="31" formatCode="0.00">
                  <c:v>0</c:v>
                </c:pt>
                <c:pt idx="34" formatCode="0.00">
                  <c:v>0</c:v>
                </c:pt>
                <c:pt idx="37" formatCode="0.00">
                  <c:v>0</c:v>
                </c:pt>
              </c:numCache>
            </c:numRef>
          </c:val>
        </c:ser>
        <c:ser>
          <c:idx val="4"/>
          <c:order val="4"/>
          <c:tx>
            <c:strRef>
              <c:f>'Pre - Post with Fuels'!$Z$26</c:f>
              <c:strCache>
                <c:ptCount val="1"/>
                <c:pt idx="0">
                  <c:v>electricity</c:v>
                </c:pt>
              </c:strCache>
            </c:strRef>
          </c:tx>
          <c:spPr>
            <a:solidFill>
              <a:srgbClr val="FFFF00"/>
            </a:solidFill>
            <a:ln>
              <a:solidFill>
                <a:prstClr val="black"/>
              </a:solidFill>
            </a:ln>
          </c:spPr>
          <c:val>
            <c:numRef>
              <c:f>'Pre - Post with Fuels'!$Z$27:$Z$66</c:f>
              <c:numCache>
                <c:formatCode>General</c:formatCode>
                <c:ptCount val="40"/>
                <c:pt idx="2">
                  <c:v>21.35</c:v>
                </c:pt>
                <c:pt idx="5">
                  <c:v>130.12</c:v>
                </c:pt>
                <c:pt idx="8">
                  <c:v>120.8</c:v>
                </c:pt>
                <c:pt idx="11">
                  <c:v>75.78</c:v>
                </c:pt>
                <c:pt idx="14">
                  <c:v>112.79</c:v>
                </c:pt>
                <c:pt idx="17">
                  <c:v>161.83000000000001</c:v>
                </c:pt>
                <c:pt idx="20">
                  <c:v>81.7</c:v>
                </c:pt>
                <c:pt idx="23">
                  <c:v>70.14</c:v>
                </c:pt>
                <c:pt idx="26">
                  <c:v>87.74</c:v>
                </c:pt>
                <c:pt idx="29" formatCode="0.00">
                  <c:v>38.93</c:v>
                </c:pt>
                <c:pt idx="32" formatCode="0.00">
                  <c:v>20.5</c:v>
                </c:pt>
                <c:pt idx="35" formatCode="0.00">
                  <c:v>63.98</c:v>
                </c:pt>
                <c:pt idx="38" formatCode="0.00">
                  <c:v>65.28</c:v>
                </c:pt>
              </c:numCache>
            </c:numRef>
          </c:val>
        </c:ser>
        <c:ser>
          <c:idx val="5"/>
          <c:order val="5"/>
          <c:tx>
            <c:strRef>
              <c:f>'Pre - Post with Fuels'!$AA$26</c:f>
              <c:strCache>
                <c:ptCount val="1"/>
                <c:pt idx="0">
                  <c:v>gas/propane</c:v>
                </c:pt>
              </c:strCache>
            </c:strRef>
          </c:tx>
          <c:spPr>
            <a:solidFill>
              <a:schemeClr val="tx2">
                <a:lumMod val="40000"/>
                <a:lumOff val="60000"/>
              </a:schemeClr>
            </a:solidFill>
            <a:ln>
              <a:solidFill>
                <a:prstClr val="black"/>
              </a:solidFill>
            </a:ln>
          </c:spPr>
          <c:val>
            <c:numRef>
              <c:f>'Pre - Post with Fuels'!$AA$27:$AA$66</c:f>
              <c:numCache>
                <c:formatCode>General</c:formatCode>
                <c:ptCount val="40"/>
                <c:pt idx="2">
                  <c:v>31.05</c:v>
                </c:pt>
                <c:pt idx="5">
                  <c:v>21.36</c:v>
                </c:pt>
                <c:pt idx="8">
                  <c:v>6.14</c:v>
                </c:pt>
                <c:pt idx="11">
                  <c:v>32.35</c:v>
                </c:pt>
                <c:pt idx="14">
                  <c:v>27.43</c:v>
                </c:pt>
                <c:pt idx="17">
                  <c:v>54.76</c:v>
                </c:pt>
                <c:pt idx="20">
                  <c:v>43.66</c:v>
                </c:pt>
                <c:pt idx="23">
                  <c:v>83.55</c:v>
                </c:pt>
                <c:pt idx="26">
                  <c:v>0</c:v>
                </c:pt>
                <c:pt idx="29" formatCode="0.00">
                  <c:v>11.1</c:v>
                </c:pt>
                <c:pt idx="32" formatCode="0.00">
                  <c:v>22.93</c:v>
                </c:pt>
                <c:pt idx="35" formatCode="0.00">
                  <c:v>39.26</c:v>
                </c:pt>
                <c:pt idx="38" formatCode="0.00">
                  <c:v>0</c:v>
                </c:pt>
              </c:numCache>
            </c:numRef>
          </c:val>
        </c:ser>
        <c:ser>
          <c:idx val="6"/>
          <c:order val="6"/>
          <c:tx>
            <c:strRef>
              <c:f>'Pre - Post with Fuels'!$AB$26</c:f>
              <c:strCache>
                <c:ptCount val="1"/>
                <c:pt idx="0">
                  <c:v> oil</c:v>
                </c:pt>
              </c:strCache>
            </c:strRef>
          </c:tx>
          <c:spPr>
            <a:solidFill>
              <a:schemeClr val="tx1">
                <a:lumMod val="50000"/>
                <a:lumOff val="50000"/>
              </a:schemeClr>
            </a:solidFill>
            <a:ln>
              <a:solidFill>
                <a:prstClr val="black"/>
              </a:solidFill>
            </a:ln>
          </c:spPr>
          <c:val>
            <c:numRef>
              <c:f>'Pre - Post with Fuels'!$AB$27:$AB$66</c:f>
              <c:numCache>
                <c:formatCode>General</c:formatCode>
                <c:ptCount val="40"/>
                <c:pt idx="2">
                  <c:v>0</c:v>
                </c:pt>
                <c:pt idx="5">
                  <c:v>0</c:v>
                </c:pt>
                <c:pt idx="8">
                  <c:v>0</c:v>
                </c:pt>
                <c:pt idx="11">
                  <c:v>0</c:v>
                </c:pt>
                <c:pt idx="14">
                  <c:v>0</c:v>
                </c:pt>
                <c:pt idx="17">
                  <c:v>0</c:v>
                </c:pt>
                <c:pt idx="20">
                  <c:v>0</c:v>
                </c:pt>
                <c:pt idx="23">
                  <c:v>0</c:v>
                </c:pt>
                <c:pt idx="26">
                  <c:v>0</c:v>
                </c:pt>
                <c:pt idx="29" formatCode="0.00">
                  <c:v>0</c:v>
                </c:pt>
                <c:pt idx="32" formatCode="0.00">
                  <c:v>0</c:v>
                </c:pt>
                <c:pt idx="35" formatCode="0.00">
                  <c:v>0</c:v>
                </c:pt>
                <c:pt idx="38" formatCode="0.00">
                  <c:v>0</c:v>
                </c:pt>
              </c:numCache>
            </c:numRef>
          </c:val>
        </c:ser>
        <c:ser>
          <c:idx val="7"/>
          <c:order val="7"/>
          <c:tx>
            <c:strRef>
              <c:f>'Pre - Post with Fuels'!$AC$26</c:f>
              <c:strCache>
                <c:ptCount val="1"/>
                <c:pt idx="0">
                  <c:v>other</c:v>
                </c:pt>
              </c:strCache>
            </c:strRef>
          </c:tx>
          <c:spPr>
            <a:solidFill>
              <a:schemeClr val="accent4">
                <a:lumMod val="40000"/>
                <a:lumOff val="60000"/>
              </a:schemeClr>
            </a:solidFill>
            <a:ln>
              <a:solidFill>
                <a:prstClr val="black"/>
              </a:solidFill>
            </a:ln>
          </c:spPr>
          <c:val>
            <c:numRef>
              <c:f>'Pre - Post with Fuels'!$AC$27:$AC$66</c:f>
              <c:numCache>
                <c:formatCode>General</c:formatCode>
                <c:ptCount val="40"/>
                <c:pt idx="2">
                  <c:v>0</c:v>
                </c:pt>
                <c:pt idx="5">
                  <c:v>0</c:v>
                </c:pt>
                <c:pt idx="8">
                  <c:v>2.79</c:v>
                </c:pt>
                <c:pt idx="11">
                  <c:v>0</c:v>
                </c:pt>
                <c:pt idx="14">
                  <c:v>0</c:v>
                </c:pt>
                <c:pt idx="17">
                  <c:v>0</c:v>
                </c:pt>
                <c:pt idx="20">
                  <c:v>0</c:v>
                </c:pt>
                <c:pt idx="23">
                  <c:v>0</c:v>
                </c:pt>
                <c:pt idx="26">
                  <c:v>0</c:v>
                </c:pt>
                <c:pt idx="29" formatCode="0.00">
                  <c:v>0</c:v>
                </c:pt>
                <c:pt idx="32" formatCode="0.00">
                  <c:v>0</c:v>
                </c:pt>
                <c:pt idx="35" formatCode="0.00">
                  <c:v>0</c:v>
                </c:pt>
                <c:pt idx="38" formatCode="0.00">
                  <c:v>0</c:v>
                </c:pt>
              </c:numCache>
            </c:numRef>
          </c:val>
        </c:ser>
        <c:gapWidth val="50"/>
        <c:overlap val="100"/>
        <c:axId val="62792832"/>
        <c:axId val="62794368"/>
      </c:barChart>
      <c:lineChart>
        <c:grouping val="standard"/>
        <c:ser>
          <c:idx val="8"/>
          <c:order val="8"/>
          <c:tx>
            <c:strRef>
              <c:f>'Pre - Post with Fuels'!$AD$8</c:f>
              <c:strCache>
                <c:ptCount val="1"/>
              </c:strCache>
            </c:strRef>
          </c:tx>
          <c:cat>
            <c:strRef>
              <c:f>'Pre - Post with Fuels'!$D$9:$D$21</c:f>
              <c:strCache>
                <c:ptCount val="13"/>
                <c:pt idx="0">
                  <c:v>Belchertown</c:v>
                </c:pt>
                <c:pt idx="1">
                  <c:v>Belmont</c:v>
                </c:pt>
                <c:pt idx="2">
                  <c:v>Millbury</c:v>
                </c:pt>
                <c:pt idx="3">
                  <c:v>Milton</c:v>
                </c:pt>
                <c:pt idx="4">
                  <c:v>Quincy</c:v>
                </c:pt>
                <c:pt idx="5">
                  <c:v>Arlington</c:v>
                </c:pt>
                <c:pt idx="6">
                  <c:v>Newton</c:v>
                </c:pt>
                <c:pt idx="7">
                  <c:v>Jamaica Plain</c:v>
                </c:pt>
                <c:pt idx="8">
                  <c:v>Northampton</c:v>
                </c:pt>
                <c:pt idx="9">
                  <c:v>Lancaster</c:v>
                </c:pt>
                <c:pt idx="10">
                  <c:v>Brookline</c:v>
                </c:pt>
                <c:pt idx="11">
                  <c:v>Westford</c:v>
                </c:pt>
                <c:pt idx="12">
                  <c:v>Gloucester</c:v>
                </c:pt>
              </c:strCache>
            </c:strRef>
          </c:cat>
          <c:val>
            <c:numRef>
              <c:f>'Pre - Post with Fuels'!$AD$9:$AD$21</c:f>
              <c:numCache>
                <c:formatCode>0.00</c:formatCode>
                <c:ptCount val="13"/>
              </c:numCache>
            </c:numRef>
          </c:val>
        </c:ser>
        <c:marker val="1"/>
        <c:axId val="62805888"/>
        <c:axId val="62804352"/>
      </c:lineChart>
      <c:catAx>
        <c:axId val="62792832"/>
        <c:scaling>
          <c:orientation val="minMax"/>
        </c:scaling>
        <c:delete val="1"/>
        <c:axPos val="b"/>
        <c:tickLblPos val="none"/>
        <c:crossAx val="62794368"/>
        <c:crosses val="autoZero"/>
        <c:auto val="1"/>
        <c:lblAlgn val="ctr"/>
        <c:lblOffset val="100"/>
      </c:catAx>
      <c:valAx>
        <c:axId val="62794368"/>
        <c:scaling>
          <c:orientation val="minMax"/>
        </c:scaling>
        <c:axPos val="l"/>
        <c:majorGridlines/>
        <c:numFmt formatCode="General" sourceLinked="1"/>
        <c:tickLblPos val="nextTo"/>
        <c:crossAx val="62792832"/>
        <c:crosses val="autoZero"/>
        <c:crossBetween val="between"/>
      </c:valAx>
      <c:valAx>
        <c:axId val="62804352"/>
        <c:scaling>
          <c:orientation val="minMax"/>
        </c:scaling>
        <c:delete val="1"/>
        <c:axPos val="r"/>
        <c:numFmt formatCode="0.00" sourceLinked="1"/>
        <c:tickLblPos val="none"/>
        <c:crossAx val="62805888"/>
        <c:crosses val="max"/>
        <c:crossBetween val="between"/>
      </c:valAx>
      <c:catAx>
        <c:axId val="62805888"/>
        <c:scaling>
          <c:orientation val="minMax"/>
        </c:scaling>
        <c:axPos val="b"/>
        <c:tickLblPos val="nextTo"/>
        <c:crossAx val="62804352"/>
        <c:crosses val="autoZero"/>
        <c:auto val="1"/>
        <c:lblAlgn val="ctr"/>
        <c:lblOffset val="100"/>
      </c:catAx>
      <c:spPr>
        <a:noFill/>
        <a:ln w="25400">
          <a:noFill/>
        </a:ln>
      </c:spPr>
    </c:plotArea>
    <c:legend>
      <c:legendPos val="b"/>
      <c:legendEntry>
        <c:idx val="0"/>
        <c:delete val="1"/>
      </c:legendEntry>
      <c:legendEntry>
        <c:idx val="1"/>
        <c:delete val="1"/>
      </c:legendEntry>
      <c:legendEntry>
        <c:idx val="2"/>
        <c:delete val="1"/>
      </c:legendEntry>
      <c:legendEntry>
        <c:idx val="3"/>
        <c:delete val="1"/>
      </c:legendEntry>
      <c:legendEntry>
        <c:idx val="8"/>
        <c:delete val="1"/>
      </c:legendEntry>
      <c:layout>
        <c:manualLayout>
          <c:xMode val="edge"/>
          <c:yMode val="edge"/>
          <c:x val="0.10288000118965299"/>
          <c:y val="0.93182473209957695"/>
          <c:w val="0.86789423984891678"/>
          <c:h val="5.1190129896183392E-2"/>
        </c:manualLayout>
      </c:layout>
    </c:legend>
    <c:plotVisOnly val="1"/>
    <c:dispBlanksAs val="gap"/>
  </c:chart>
  <c:printSettings>
    <c:headerFooter/>
    <c:pageMargins b="0.75000000000000266" l="0.70000000000000062" r="0.70000000000000062" t="0.75000000000000266" header="0.30000000000000032" footer="0.30000000000000032"/>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1527126928740412"/>
          <c:y val="0.17753639421015699"/>
          <c:w val="0.85949825929614065"/>
          <c:h val="0.48870796659728816"/>
        </c:manualLayout>
      </c:layout>
      <c:barChart>
        <c:barDir val="col"/>
        <c:grouping val="stacked"/>
        <c:ser>
          <c:idx val="1"/>
          <c:order val="0"/>
          <c:tx>
            <c:v>6 mo H/C source kBtu/sf</c:v>
          </c:tx>
          <c:spPr>
            <a:ln>
              <a:solidFill>
                <a:srgbClr val="C00000"/>
              </a:solidFill>
            </a:ln>
          </c:spPr>
          <c:cat>
            <c:strRef>
              <c:f>'EUI chainsaw'!$D$9:$D$21</c:f>
              <c:strCache>
                <c:ptCount val="13"/>
                <c:pt idx="0">
                  <c:v>Northampton</c:v>
                </c:pt>
                <c:pt idx="1">
                  <c:v>Quincy</c:v>
                </c:pt>
                <c:pt idx="2">
                  <c:v>Belmont</c:v>
                </c:pt>
                <c:pt idx="3">
                  <c:v>Gloucester</c:v>
                </c:pt>
                <c:pt idx="4">
                  <c:v>Newton</c:v>
                </c:pt>
                <c:pt idx="5">
                  <c:v>Millbury</c:v>
                </c:pt>
                <c:pt idx="6">
                  <c:v>Belchertown</c:v>
                </c:pt>
                <c:pt idx="7">
                  <c:v>Brookline</c:v>
                </c:pt>
                <c:pt idx="8">
                  <c:v>Lancaster</c:v>
                </c:pt>
                <c:pt idx="9">
                  <c:v>Milton</c:v>
                </c:pt>
                <c:pt idx="10">
                  <c:v>Jamaica Plain</c:v>
                </c:pt>
                <c:pt idx="11">
                  <c:v>Arlington</c:v>
                </c:pt>
                <c:pt idx="12">
                  <c:v>Westford</c:v>
                </c:pt>
              </c:strCache>
            </c:strRef>
          </c:cat>
          <c:val>
            <c:numRef>
              <c:f>'EUI chainsaw'!$AD$9:$AD$21</c:f>
              <c:numCache>
                <c:formatCode>0</c:formatCode>
                <c:ptCount val="13"/>
                <c:pt idx="0">
                  <c:v>3.3236257735711692</c:v>
                </c:pt>
                <c:pt idx="1">
                  <c:v>4.5432692307692308</c:v>
                </c:pt>
                <c:pt idx="2">
                  <c:v>6.0255872483221484</c:v>
                </c:pt>
                <c:pt idx="3">
                  <c:v>6.534653465346536</c:v>
                </c:pt>
                <c:pt idx="4">
                  <c:v>8.1491587085038653</c:v>
                </c:pt>
                <c:pt idx="5">
                  <c:v>12.537473233404709</c:v>
                </c:pt>
                <c:pt idx="6">
                  <c:v>5.3959098059779755</c:v>
                </c:pt>
                <c:pt idx="7">
                  <c:v>5.4221802142407061</c:v>
                </c:pt>
                <c:pt idx="8">
                  <c:v>5.6597222222222205</c:v>
                </c:pt>
                <c:pt idx="9">
                  <c:v>6.7989864864864868</c:v>
                </c:pt>
                <c:pt idx="10">
                  <c:v>6.960102960102958</c:v>
                </c:pt>
                <c:pt idx="11">
                  <c:v>7.4882823269920031</c:v>
                </c:pt>
                <c:pt idx="12">
                  <c:v>11.299620733249052</c:v>
                </c:pt>
              </c:numCache>
            </c:numRef>
          </c:val>
        </c:ser>
        <c:ser>
          <c:idx val="0"/>
          <c:order val="1"/>
          <c:tx>
            <c:v>12 mo H/C source kBtu/sf</c:v>
          </c:tx>
          <c:spPr>
            <a:noFill/>
            <a:ln>
              <a:solidFill>
                <a:srgbClr val="C00000"/>
              </a:solidFill>
            </a:ln>
          </c:spPr>
          <c:val>
            <c:numRef>
              <c:f>'EUI chainsaw'!$AE$9:$AE$21</c:f>
              <c:numCache>
                <c:formatCode>0</c:formatCode>
                <c:ptCount val="13"/>
                <c:pt idx="0">
                  <c:v>5.1583545686203109</c:v>
                </c:pt>
                <c:pt idx="1">
                  <c:v>4.7006118881118875</c:v>
                </c:pt>
                <c:pt idx="2">
                  <c:v>5.3334731543624159</c:v>
                </c:pt>
                <c:pt idx="3">
                  <c:v>0</c:v>
                </c:pt>
                <c:pt idx="4">
                  <c:v>14.752160072760347</c:v>
                </c:pt>
                <c:pt idx="5">
                  <c:v>14.641327623126331</c:v>
                </c:pt>
                <c:pt idx="6">
                  <c:v>9.4965915049816463</c:v>
                </c:pt>
                <c:pt idx="7">
                  <c:v>0</c:v>
                </c:pt>
                <c:pt idx="8">
                  <c:v>0</c:v>
                </c:pt>
                <c:pt idx="9">
                  <c:v>9.7761824324324316</c:v>
                </c:pt>
                <c:pt idx="10">
                  <c:v>7.6447876447876411</c:v>
                </c:pt>
                <c:pt idx="11">
                  <c:v>16.625310173697276</c:v>
                </c:pt>
                <c:pt idx="12">
                  <c:v>0</c:v>
                </c:pt>
              </c:numCache>
            </c:numRef>
          </c:val>
        </c:ser>
        <c:overlap val="100"/>
        <c:axId val="126631936"/>
        <c:axId val="126633472"/>
      </c:barChart>
      <c:catAx>
        <c:axId val="126631936"/>
        <c:scaling>
          <c:orientation val="minMax"/>
        </c:scaling>
        <c:axPos val="b"/>
        <c:tickLblPos val="nextTo"/>
        <c:crossAx val="126633472"/>
        <c:crosses val="autoZero"/>
        <c:auto val="1"/>
        <c:lblAlgn val="ctr"/>
        <c:lblOffset val="100"/>
      </c:catAx>
      <c:valAx>
        <c:axId val="126633472"/>
        <c:scaling>
          <c:orientation val="minMax"/>
        </c:scaling>
        <c:axPos val="l"/>
        <c:majorGridlines/>
        <c:numFmt formatCode="0" sourceLinked="1"/>
        <c:tickLblPos val="nextTo"/>
        <c:crossAx val="126631936"/>
        <c:crosses val="autoZero"/>
        <c:crossBetween val="between"/>
      </c:valAx>
    </c:plotArea>
    <c:legend>
      <c:legendPos val="b"/>
      <c:layout/>
    </c:legend>
    <c:plotVisOnly val="1"/>
  </c:chart>
  <c:printSettings>
    <c:headerFooter/>
    <c:pageMargins b="0.75000000000000522" l="0.70000000000000062" r="0.70000000000000062" t="0.75000000000000522" header="0.30000000000000032" footer="0.30000000000000032"/>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1274822214575821"/>
          <c:y val="0.17341002216671278"/>
          <c:w val="0.8620213064377894"/>
          <c:h val="0.52915682609886072"/>
        </c:manualLayout>
      </c:layout>
      <c:barChart>
        <c:barDir val="col"/>
        <c:grouping val="stacked"/>
        <c:ser>
          <c:idx val="1"/>
          <c:order val="0"/>
          <c:tx>
            <c:v>6 mo H/C source kBtu/sf</c:v>
          </c:tx>
          <c:spPr>
            <a:ln>
              <a:solidFill>
                <a:srgbClr val="C00000"/>
              </a:solidFill>
            </a:ln>
          </c:spPr>
          <c:cat>
            <c:strRef>
              <c:f>'EUI basement'!$D$9:$D$21</c:f>
              <c:strCache>
                <c:ptCount val="13"/>
                <c:pt idx="0">
                  <c:v>Arlington</c:v>
                </c:pt>
                <c:pt idx="1">
                  <c:v>Brookline</c:v>
                </c:pt>
                <c:pt idx="2">
                  <c:v>Belmont</c:v>
                </c:pt>
                <c:pt idx="3">
                  <c:v>Westford</c:v>
                </c:pt>
                <c:pt idx="4">
                  <c:v>Northampton</c:v>
                </c:pt>
                <c:pt idx="5">
                  <c:v>Quincy</c:v>
                </c:pt>
                <c:pt idx="6">
                  <c:v>Belchertown</c:v>
                </c:pt>
                <c:pt idx="7">
                  <c:v>Lancaster</c:v>
                </c:pt>
                <c:pt idx="8">
                  <c:v>Gloucester</c:v>
                </c:pt>
                <c:pt idx="9">
                  <c:v>Milton</c:v>
                </c:pt>
                <c:pt idx="10">
                  <c:v>Jamaica Plain</c:v>
                </c:pt>
                <c:pt idx="11">
                  <c:v>Newton</c:v>
                </c:pt>
                <c:pt idx="12">
                  <c:v>Millbury</c:v>
                </c:pt>
              </c:strCache>
            </c:strRef>
          </c:cat>
          <c:val>
            <c:numRef>
              <c:f>'EUI basement'!$AD$9:$AD$21</c:f>
              <c:numCache>
                <c:formatCode>0.00</c:formatCode>
                <c:ptCount val="13"/>
                <c:pt idx="0">
                  <c:v>7.4882823269920031</c:v>
                </c:pt>
                <c:pt idx="1">
                  <c:v>5.4221802142407061</c:v>
                </c:pt>
                <c:pt idx="2">
                  <c:v>6.0255872483221484</c:v>
                </c:pt>
                <c:pt idx="3">
                  <c:v>11.299620733249052</c:v>
                </c:pt>
                <c:pt idx="4">
                  <c:v>3.3236257735711692</c:v>
                </c:pt>
                <c:pt idx="5">
                  <c:v>4.5432692307692308</c:v>
                </c:pt>
                <c:pt idx="6">
                  <c:v>5.3959098059779755</c:v>
                </c:pt>
                <c:pt idx="7">
                  <c:v>5.6597222222222205</c:v>
                </c:pt>
                <c:pt idx="8">
                  <c:v>6.534653465346536</c:v>
                </c:pt>
                <c:pt idx="9">
                  <c:v>6.7989864864864868</c:v>
                </c:pt>
                <c:pt idx="10">
                  <c:v>6.960102960102958</c:v>
                </c:pt>
                <c:pt idx="11">
                  <c:v>8.1491587085038653</c:v>
                </c:pt>
                <c:pt idx="12">
                  <c:v>12.537473233404709</c:v>
                </c:pt>
              </c:numCache>
            </c:numRef>
          </c:val>
        </c:ser>
        <c:ser>
          <c:idx val="0"/>
          <c:order val="1"/>
          <c:tx>
            <c:v>12 mo H/C source kBtu/sf</c:v>
          </c:tx>
          <c:spPr>
            <a:noFill/>
            <a:ln>
              <a:solidFill>
                <a:srgbClr val="C00000"/>
              </a:solidFill>
            </a:ln>
          </c:spPr>
          <c:val>
            <c:numRef>
              <c:f>'EUI basement'!$AE$9:$AE$21</c:f>
              <c:numCache>
                <c:formatCode>0.00</c:formatCode>
                <c:ptCount val="13"/>
                <c:pt idx="0">
                  <c:v>16.625310173697276</c:v>
                </c:pt>
                <c:pt idx="1">
                  <c:v>0</c:v>
                </c:pt>
                <c:pt idx="2">
                  <c:v>5.3334731543624159</c:v>
                </c:pt>
                <c:pt idx="3">
                  <c:v>0</c:v>
                </c:pt>
                <c:pt idx="4">
                  <c:v>5.1583545686203109</c:v>
                </c:pt>
                <c:pt idx="5">
                  <c:v>4.7006118881118875</c:v>
                </c:pt>
                <c:pt idx="6">
                  <c:v>9.4965915049816463</c:v>
                </c:pt>
                <c:pt idx="7">
                  <c:v>0</c:v>
                </c:pt>
                <c:pt idx="8">
                  <c:v>0</c:v>
                </c:pt>
                <c:pt idx="9">
                  <c:v>9.7761824324324316</c:v>
                </c:pt>
                <c:pt idx="10">
                  <c:v>7.6447876447876411</c:v>
                </c:pt>
                <c:pt idx="11">
                  <c:v>14.752160072760347</c:v>
                </c:pt>
                <c:pt idx="12">
                  <c:v>14.641327623126331</c:v>
                </c:pt>
              </c:numCache>
            </c:numRef>
          </c:val>
        </c:ser>
        <c:overlap val="100"/>
        <c:axId val="136300032"/>
        <c:axId val="136301568"/>
      </c:barChart>
      <c:catAx>
        <c:axId val="136300032"/>
        <c:scaling>
          <c:orientation val="minMax"/>
        </c:scaling>
        <c:axPos val="b"/>
        <c:tickLblPos val="nextTo"/>
        <c:crossAx val="136301568"/>
        <c:crosses val="autoZero"/>
        <c:auto val="1"/>
        <c:lblAlgn val="ctr"/>
        <c:lblOffset val="100"/>
      </c:catAx>
      <c:valAx>
        <c:axId val="136301568"/>
        <c:scaling>
          <c:orientation val="minMax"/>
        </c:scaling>
        <c:axPos val="l"/>
        <c:majorGridlines/>
        <c:numFmt formatCode="0" sourceLinked="0"/>
        <c:tickLblPos val="nextTo"/>
        <c:crossAx val="136300032"/>
        <c:crosses val="autoZero"/>
        <c:crossBetween val="between"/>
      </c:valAx>
    </c:plotArea>
    <c:legend>
      <c:legendPos val="b"/>
      <c:layout/>
    </c:legend>
    <c:plotVisOnly val="1"/>
  </c:chart>
  <c:printSettings>
    <c:headerFooter/>
    <c:pageMargins b="0.75000000000000544" l="0.70000000000000062" r="0.70000000000000062" t="0.75000000000000544" header="0.30000000000000032" footer="0.30000000000000032"/>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1919852347163877"/>
          <c:y val="0.31590728002836682"/>
          <c:w val="0.78554539683835922"/>
          <c:h val="0.43680606945181122"/>
        </c:manualLayout>
      </c:layout>
      <c:barChart>
        <c:barDir val="col"/>
        <c:grouping val="stacked"/>
        <c:ser>
          <c:idx val="1"/>
          <c:order val="0"/>
          <c:tx>
            <c:v>6 mo H/C source kBtu/sf</c:v>
          </c:tx>
          <c:spPr>
            <a:ln>
              <a:solidFill>
                <a:srgbClr val="C00000"/>
              </a:solidFill>
            </a:ln>
          </c:spPr>
          <c:cat>
            <c:strRef>
              <c:f>'EUI roof attic'!$D$9:$D$21</c:f>
              <c:strCache>
                <c:ptCount val="13"/>
                <c:pt idx="0">
                  <c:v>Northampton</c:v>
                </c:pt>
                <c:pt idx="1">
                  <c:v>Quincy</c:v>
                </c:pt>
                <c:pt idx="2">
                  <c:v>Belmont</c:v>
                </c:pt>
                <c:pt idx="3">
                  <c:v>Gloucester</c:v>
                </c:pt>
                <c:pt idx="4">
                  <c:v>Newton</c:v>
                </c:pt>
                <c:pt idx="5">
                  <c:v>Millbury</c:v>
                </c:pt>
                <c:pt idx="6">
                  <c:v>Belchertown</c:v>
                </c:pt>
                <c:pt idx="7">
                  <c:v>Brookline</c:v>
                </c:pt>
                <c:pt idx="8">
                  <c:v>Milton</c:v>
                </c:pt>
                <c:pt idx="9">
                  <c:v>Arlington</c:v>
                </c:pt>
                <c:pt idx="10">
                  <c:v>Westford</c:v>
                </c:pt>
                <c:pt idx="11">
                  <c:v>Lancaster</c:v>
                </c:pt>
                <c:pt idx="12">
                  <c:v>Jamaica Plain</c:v>
                </c:pt>
              </c:strCache>
            </c:strRef>
          </c:cat>
          <c:val>
            <c:numRef>
              <c:f>'EUI roof attic'!$AD$9:$AD$21</c:f>
              <c:numCache>
                <c:formatCode>0</c:formatCode>
                <c:ptCount val="13"/>
                <c:pt idx="0">
                  <c:v>3.3236257735711692</c:v>
                </c:pt>
                <c:pt idx="1">
                  <c:v>4.5432692307692308</c:v>
                </c:pt>
                <c:pt idx="2">
                  <c:v>6.0255872483221484</c:v>
                </c:pt>
                <c:pt idx="3">
                  <c:v>6.534653465346536</c:v>
                </c:pt>
                <c:pt idx="4">
                  <c:v>8.1491587085038653</c:v>
                </c:pt>
                <c:pt idx="5">
                  <c:v>12.537473233404709</c:v>
                </c:pt>
                <c:pt idx="6">
                  <c:v>5.3959098059779755</c:v>
                </c:pt>
                <c:pt idx="7">
                  <c:v>5.4221802142407061</c:v>
                </c:pt>
                <c:pt idx="8">
                  <c:v>6.7989864864864868</c:v>
                </c:pt>
                <c:pt idx="9">
                  <c:v>7.4882823269920031</c:v>
                </c:pt>
                <c:pt idx="10">
                  <c:v>11.299620733249052</c:v>
                </c:pt>
                <c:pt idx="11">
                  <c:v>5.6597222222222205</c:v>
                </c:pt>
                <c:pt idx="12">
                  <c:v>6.960102960102958</c:v>
                </c:pt>
              </c:numCache>
            </c:numRef>
          </c:val>
        </c:ser>
        <c:ser>
          <c:idx val="0"/>
          <c:order val="1"/>
          <c:tx>
            <c:v>12 mo H/C source kBtu/sf</c:v>
          </c:tx>
          <c:spPr>
            <a:noFill/>
            <a:ln>
              <a:solidFill>
                <a:srgbClr val="C00000"/>
              </a:solidFill>
            </a:ln>
          </c:spPr>
          <c:val>
            <c:numRef>
              <c:f>'EUI roof attic'!$AE$9:$AE$21</c:f>
              <c:numCache>
                <c:formatCode>0</c:formatCode>
                <c:ptCount val="13"/>
                <c:pt idx="0">
                  <c:v>5.1583545686203109</c:v>
                </c:pt>
                <c:pt idx="1">
                  <c:v>4.7006118881118875</c:v>
                </c:pt>
                <c:pt idx="2">
                  <c:v>5.3334731543624159</c:v>
                </c:pt>
                <c:pt idx="3">
                  <c:v>0</c:v>
                </c:pt>
                <c:pt idx="4">
                  <c:v>14.752160072760347</c:v>
                </c:pt>
                <c:pt idx="5">
                  <c:v>14.641327623126331</c:v>
                </c:pt>
                <c:pt idx="6">
                  <c:v>9.4965915049816463</c:v>
                </c:pt>
                <c:pt idx="7">
                  <c:v>0</c:v>
                </c:pt>
                <c:pt idx="8">
                  <c:v>9.7761824324324316</c:v>
                </c:pt>
                <c:pt idx="9">
                  <c:v>16.625310173697276</c:v>
                </c:pt>
                <c:pt idx="10">
                  <c:v>0</c:v>
                </c:pt>
                <c:pt idx="11">
                  <c:v>0</c:v>
                </c:pt>
                <c:pt idx="12">
                  <c:v>7.6447876447876411</c:v>
                </c:pt>
              </c:numCache>
            </c:numRef>
          </c:val>
        </c:ser>
        <c:overlap val="100"/>
        <c:axId val="136314240"/>
        <c:axId val="136537216"/>
      </c:barChart>
      <c:catAx>
        <c:axId val="136314240"/>
        <c:scaling>
          <c:orientation val="minMax"/>
        </c:scaling>
        <c:axPos val="b"/>
        <c:tickLblPos val="nextTo"/>
        <c:crossAx val="136537216"/>
        <c:crosses val="autoZero"/>
        <c:auto val="1"/>
        <c:lblAlgn val="ctr"/>
        <c:lblOffset val="100"/>
      </c:catAx>
      <c:valAx>
        <c:axId val="136537216"/>
        <c:scaling>
          <c:orientation val="minMax"/>
          <c:max val="28"/>
        </c:scaling>
        <c:axPos val="l"/>
        <c:majorGridlines/>
        <c:numFmt formatCode="0" sourceLinked="0"/>
        <c:tickLblPos val="nextTo"/>
        <c:crossAx val="136314240"/>
        <c:crosses val="autoZero"/>
        <c:crossBetween val="between"/>
        <c:majorUnit val="4"/>
        <c:minorUnit val="1"/>
      </c:valAx>
    </c:plotArea>
    <c:legend>
      <c:legendPos val="b"/>
      <c:layout>
        <c:manualLayout>
          <c:xMode val="edge"/>
          <c:yMode val="edge"/>
          <c:x val="0.14179467806128554"/>
          <c:y val="0.92691255618662238"/>
          <c:w val="0.71641043062284671"/>
          <c:h val="6.2687442284768413E-2"/>
        </c:manualLayout>
      </c:layout>
    </c:legend>
    <c:plotVisOnly val="1"/>
  </c:chart>
  <c:printSettings>
    <c:headerFooter/>
    <c:pageMargins b="0.75000000000000411" l="0.70000000000000062" r="0.70000000000000062" t="0.750000000000004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8.8661014375420746E-2"/>
          <c:y val="3.5456603366188125E-2"/>
          <c:w val="0.66907005113799001"/>
          <c:h val="0.65349637468445365"/>
        </c:manualLayout>
      </c:layout>
      <c:barChart>
        <c:barDir val="col"/>
        <c:grouping val="stacked"/>
        <c:ser>
          <c:idx val="0"/>
          <c:order val="0"/>
          <c:tx>
            <c:v>Weather normalized 12 mo source MMBtu/household</c:v>
          </c:tx>
          <c:spPr>
            <a:solidFill>
              <a:srgbClr val="7030A0"/>
            </a:solidFill>
          </c:spPr>
          <c:cat>
            <c:strRef>
              <c:f>'By # of Units'!$D$9:$D$21</c:f>
              <c:strCache>
                <c:ptCount val="13"/>
                <c:pt idx="0">
                  <c:v>Belchertown</c:v>
                </c:pt>
                <c:pt idx="1">
                  <c:v>Belmont-2</c:v>
                </c:pt>
                <c:pt idx="2">
                  <c:v>Millbury</c:v>
                </c:pt>
                <c:pt idx="3">
                  <c:v>Milton</c:v>
                </c:pt>
                <c:pt idx="4">
                  <c:v>Quincy</c:v>
                </c:pt>
                <c:pt idx="5">
                  <c:v>Arlington-2</c:v>
                </c:pt>
                <c:pt idx="6">
                  <c:v>Newton</c:v>
                </c:pt>
                <c:pt idx="7">
                  <c:v>Jamaica Plain-3</c:v>
                </c:pt>
                <c:pt idx="8">
                  <c:v>Northampton</c:v>
                </c:pt>
                <c:pt idx="9">
                  <c:v>Lancaster</c:v>
                </c:pt>
                <c:pt idx="10">
                  <c:v>Brookline</c:v>
                </c:pt>
                <c:pt idx="11">
                  <c:v>Westford</c:v>
                </c:pt>
                <c:pt idx="12">
                  <c:v>Gloucester</c:v>
                </c:pt>
              </c:strCache>
            </c:strRef>
          </c:cat>
          <c:val>
            <c:numRef>
              <c:f>'By # of Units'!$P$9:$P$21</c:f>
              <c:numCache>
                <c:formatCode>General</c:formatCode>
                <c:ptCount val="13"/>
                <c:pt idx="0">
                  <c:v>52.72</c:v>
                </c:pt>
                <c:pt idx="1">
                  <c:v>76.644999999999996</c:v>
                </c:pt>
                <c:pt idx="2">
                  <c:v>140.01</c:v>
                </c:pt>
                <c:pt idx="3">
                  <c:v>110.14</c:v>
                </c:pt>
                <c:pt idx="4">
                  <c:v>145.41999999999999</c:v>
                </c:pt>
                <c:pt idx="5">
                  <c:v>109.745</c:v>
                </c:pt>
                <c:pt idx="6">
                  <c:v>127.83</c:v>
                </c:pt>
                <c:pt idx="7">
                  <c:v>55.396666666666668</c:v>
                </c:pt>
                <c:pt idx="8">
                  <c:v>93.19</c:v>
                </c:pt>
                <c:pt idx="9">
                  <c:v>0</c:v>
                </c:pt>
                <c:pt idx="10">
                  <c:v>0</c:v>
                </c:pt>
                <c:pt idx="11">
                  <c:v>0</c:v>
                </c:pt>
                <c:pt idx="12">
                  <c:v>0</c:v>
                </c:pt>
              </c:numCache>
            </c:numRef>
          </c:val>
        </c:ser>
        <c:ser>
          <c:idx val="1"/>
          <c:order val="1"/>
          <c:tx>
            <c:v>Weather normalized projected 12 mo source MMBtu/household</c:v>
          </c:tx>
          <c:spPr>
            <a:noFill/>
            <a:ln>
              <a:solidFill>
                <a:srgbClr val="7030A0"/>
              </a:solidFill>
            </a:ln>
          </c:spPr>
          <c:cat>
            <c:strRef>
              <c:f>'By # of Units'!$D$9:$D$21</c:f>
              <c:strCache>
                <c:ptCount val="13"/>
                <c:pt idx="0">
                  <c:v>Belchertown</c:v>
                </c:pt>
                <c:pt idx="1">
                  <c:v>Belmont-2</c:v>
                </c:pt>
                <c:pt idx="2">
                  <c:v>Millbury</c:v>
                </c:pt>
                <c:pt idx="3">
                  <c:v>Milton</c:v>
                </c:pt>
                <c:pt idx="4">
                  <c:v>Quincy</c:v>
                </c:pt>
                <c:pt idx="5">
                  <c:v>Arlington-2</c:v>
                </c:pt>
                <c:pt idx="6">
                  <c:v>Newton</c:v>
                </c:pt>
                <c:pt idx="7">
                  <c:v>Jamaica Plain-3</c:v>
                </c:pt>
                <c:pt idx="8">
                  <c:v>Northampton</c:v>
                </c:pt>
                <c:pt idx="9">
                  <c:v>Lancaster</c:v>
                </c:pt>
                <c:pt idx="10">
                  <c:v>Brookline</c:v>
                </c:pt>
                <c:pt idx="11">
                  <c:v>Westford</c:v>
                </c:pt>
                <c:pt idx="12">
                  <c:v>Gloucester</c:v>
                </c:pt>
              </c:strCache>
            </c:strRef>
          </c:cat>
          <c:val>
            <c:numRef>
              <c:f>'By # of Units'!$S$9:$S$21</c:f>
              <c:numCache>
                <c:formatCode>General</c:formatCode>
                <c:ptCount val="13"/>
                <c:pt idx="0">
                  <c:v>0</c:v>
                </c:pt>
                <c:pt idx="1">
                  <c:v>0</c:v>
                </c:pt>
                <c:pt idx="2">
                  <c:v>0</c:v>
                </c:pt>
                <c:pt idx="3">
                  <c:v>0</c:v>
                </c:pt>
                <c:pt idx="4">
                  <c:v>0</c:v>
                </c:pt>
                <c:pt idx="5">
                  <c:v>0</c:v>
                </c:pt>
                <c:pt idx="6">
                  <c:v>0</c:v>
                </c:pt>
                <c:pt idx="7">
                  <c:v>0</c:v>
                </c:pt>
                <c:pt idx="8">
                  <c:v>0</c:v>
                </c:pt>
                <c:pt idx="9">
                  <c:v>102.91</c:v>
                </c:pt>
                <c:pt idx="10">
                  <c:v>98.44</c:v>
                </c:pt>
                <c:pt idx="11">
                  <c:v>221.92000000000002</c:v>
                </c:pt>
                <c:pt idx="12">
                  <c:v>144.93</c:v>
                </c:pt>
              </c:numCache>
            </c:numRef>
          </c:val>
        </c:ser>
        <c:gapWidth val="100"/>
        <c:overlap val="100"/>
        <c:axId val="72106368"/>
        <c:axId val="72107904"/>
      </c:barChart>
      <c:catAx>
        <c:axId val="72106368"/>
        <c:scaling>
          <c:orientation val="minMax"/>
        </c:scaling>
        <c:axPos val="b"/>
        <c:tickLblPos val="nextTo"/>
        <c:crossAx val="72107904"/>
        <c:crosses val="autoZero"/>
        <c:auto val="1"/>
        <c:lblAlgn val="ctr"/>
        <c:lblOffset val="100"/>
      </c:catAx>
      <c:valAx>
        <c:axId val="72107904"/>
        <c:scaling>
          <c:orientation val="minMax"/>
          <c:max val="240"/>
          <c:min val="0"/>
        </c:scaling>
        <c:axPos val="l"/>
        <c:majorGridlines/>
        <c:minorGridlines/>
        <c:numFmt formatCode="General" sourceLinked="1"/>
        <c:tickLblPos val="nextTo"/>
        <c:crossAx val="72106368"/>
        <c:crosses val="autoZero"/>
        <c:crossBetween val="between"/>
      </c:valAx>
      <c:spPr>
        <a:noFill/>
        <a:ln w="25400">
          <a:noFill/>
        </a:ln>
      </c:spPr>
    </c:plotArea>
    <c:legend>
      <c:legendPos val="b"/>
      <c:layout/>
    </c:legend>
    <c:plotVisOnly val="1"/>
  </c:chart>
  <c:printSettings>
    <c:headerFooter/>
    <c:pageMargins b="0.75000000000000855" l="0.70000000000000062" r="0.70000000000000062" t="0.750000000000008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675922780188448"/>
          <c:y val="0.18507342074510871"/>
          <c:w val="0.71927390067923969"/>
          <c:h val="0.52133376185119129"/>
        </c:manualLayout>
      </c:layout>
      <c:barChart>
        <c:barDir val="col"/>
        <c:grouping val="stacked"/>
        <c:ser>
          <c:idx val="0"/>
          <c:order val="0"/>
          <c:tx>
            <c:v>Weather normalized site kBtu/sf-year</c:v>
          </c:tx>
          <c:spPr>
            <a:solidFill>
              <a:srgbClr val="7030A0"/>
            </a:solidFill>
          </c:spPr>
          <c:cat>
            <c:strRef>
              <c:f>'Site and Src EUI (3)'!$D$9:$D$21</c:f>
              <c:strCache>
                <c:ptCount val="13"/>
                <c:pt idx="0">
                  <c:v>Belmont-2</c:v>
                </c:pt>
                <c:pt idx="1">
                  <c:v>Arlington-2</c:v>
                </c:pt>
                <c:pt idx="2">
                  <c:v>Jamaica Plain-3</c:v>
                </c:pt>
                <c:pt idx="3">
                  <c:v>Belchertown</c:v>
                </c:pt>
                <c:pt idx="4">
                  <c:v>Millbury</c:v>
                </c:pt>
                <c:pt idx="5">
                  <c:v>Milton</c:v>
                </c:pt>
                <c:pt idx="6">
                  <c:v>Quincy</c:v>
                </c:pt>
                <c:pt idx="7">
                  <c:v>Newton</c:v>
                </c:pt>
                <c:pt idx="8">
                  <c:v>Northampton</c:v>
                </c:pt>
                <c:pt idx="9">
                  <c:v>Lancaster</c:v>
                </c:pt>
                <c:pt idx="10">
                  <c:v>Brookline</c:v>
                </c:pt>
                <c:pt idx="11">
                  <c:v>Westford</c:v>
                </c:pt>
                <c:pt idx="12">
                  <c:v>Gloucester</c:v>
                </c:pt>
              </c:strCache>
            </c:strRef>
          </c:cat>
          <c:val>
            <c:numRef>
              <c:f>'Site and Src EUI (3)'!$T$9:$T$21</c:f>
              <c:numCache>
                <c:formatCode>0</c:formatCode>
                <c:ptCount val="13"/>
                <c:pt idx="0">
                  <c:v>12.810402684563758</c:v>
                </c:pt>
                <c:pt idx="1">
                  <c:v>28.544251447477254</c:v>
                </c:pt>
                <c:pt idx="2">
                  <c:v>29.016731016731018</c:v>
                </c:pt>
                <c:pt idx="3">
                  <c:v>19.638175144205558</c:v>
                </c:pt>
                <c:pt idx="4">
                  <c:v>24.710920770877944</c:v>
                </c:pt>
                <c:pt idx="5">
                  <c:v>23.4375</c:v>
                </c:pt>
                <c:pt idx="6">
                  <c:v>14.189248251748253</c:v>
                </c:pt>
                <c:pt idx="7">
                  <c:v>31.159618008185539</c:v>
                </c:pt>
                <c:pt idx="8">
                  <c:v>10.156534401164906</c:v>
                </c:pt>
                <c:pt idx="9">
                  <c:v>0</c:v>
                </c:pt>
                <c:pt idx="10">
                  <c:v>0</c:v>
                </c:pt>
                <c:pt idx="11">
                  <c:v>0</c:v>
                </c:pt>
                <c:pt idx="12">
                  <c:v>0</c:v>
                </c:pt>
              </c:numCache>
            </c:numRef>
          </c:val>
        </c:ser>
        <c:ser>
          <c:idx val="1"/>
          <c:order val="1"/>
          <c:tx>
            <c:v>Weather normalized projected site kBtu/sf-year</c:v>
          </c:tx>
          <c:spPr>
            <a:noFill/>
            <a:ln>
              <a:solidFill>
                <a:srgbClr val="7030A0"/>
              </a:solidFill>
            </a:ln>
          </c:spPr>
          <c:cat>
            <c:strRef>
              <c:f>'Site and Src EUI (3)'!$D$9:$D$21</c:f>
              <c:strCache>
                <c:ptCount val="13"/>
                <c:pt idx="0">
                  <c:v>Belmont-2</c:v>
                </c:pt>
                <c:pt idx="1">
                  <c:v>Arlington-2</c:v>
                </c:pt>
                <c:pt idx="2">
                  <c:v>Jamaica Plain-3</c:v>
                </c:pt>
                <c:pt idx="3">
                  <c:v>Belchertown</c:v>
                </c:pt>
                <c:pt idx="4">
                  <c:v>Millbury</c:v>
                </c:pt>
                <c:pt idx="5">
                  <c:v>Milton</c:v>
                </c:pt>
                <c:pt idx="6">
                  <c:v>Quincy</c:v>
                </c:pt>
                <c:pt idx="7">
                  <c:v>Newton</c:v>
                </c:pt>
                <c:pt idx="8">
                  <c:v>Northampton</c:v>
                </c:pt>
                <c:pt idx="9">
                  <c:v>Lancaster</c:v>
                </c:pt>
                <c:pt idx="10">
                  <c:v>Brookline</c:v>
                </c:pt>
                <c:pt idx="11">
                  <c:v>Westford</c:v>
                </c:pt>
                <c:pt idx="12">
                  <c:v>Gloucester</c:v>
                </c:pt>
              </c:strCache>
            </c:strRef>
          </c:cat>
          <c:val>
            <c:numRef>
              <c:f>'Site and Src EUI (3)'!$AB$9:$AB$21</c:f>
              <c:numCache>
                <c:formatCode>0</c:formatCode>
                <c:ptCount val="13"/>
                <c:pt idx="0">
                  <c:v>0</c:v>
                </c:pt>
                <c:pt idx="1">
                  <c:v>0</c:v>
                </c:pt>
                <c:pt idx="2">
                  <c:v>0</c:v>
                </c:pt>
                <c:pt idx="3">
                  <c:v>0</c:v>
                </c:pt>
                <c:pt idx="4">
                  <c:v>0</c:v>
                </c:pt>
                <c:pt idx="5">
                  <c:v>0</c:v>
                </c:pt>
                <c:pt idx="6">
                  <c:v>0</c:v>
                </c:pt>
                <c:pt idx="7">
                  <c:v>0</c:v>
                </c:pt>
                <c:pt idx="8">
                  <c:v>0</c:v>
                </c:pt>
                <c:pt idx="9">
                  <c:v>31.5</c:v>
                </c:pt>
                <c:pt idx="10">
                  <c:v>21.156269691241334</c:v>
                </c:pt>
                <c:pt idx="11">
                  <c:v>32.376738305941849</c:v>
                </c:pt>
                <c:pt idx="12">
                  <c:v>17.904290429042906</c:v>
                </c:pt>
              </c:numCache>
            </c:numRef>
          </c:val>
        </c:ser>
        <c:overlap val="100"/>
        <c:axId val="72243456"/>
        <c:axId val="72261632"/>
      </c:barChart>
      <c:catAx>
        <c:axId val="72243456"/>
        <c:scaling>
          <c:orientation val="minMax"/>
        </c:scaling>
        <c:axPos val="b"/>
        <c:tickLblPos val="nextTo"/>
        <c:crossAx val="72261632"/>
        <c:crosses val="autoZero"/>
        <c:auto val="1"/>
        <c:lblAlgn val="ctr"/>
        <c:lblOffset val="100"/>
      </c:catAx>
      <c:valAx>
        <c:axId val="72261632"/>
        <c:scaling>
          <c:orientation val="minMax"/>
        </c:scaling>
        <c:axPos val="l"/>
        <c:majorGridlines/>
        <c:numFmt formatCode="0" sourceLinked="1"/>
        <c:tickLblPos val="nextTo"/>
        <c:crossAx val="72243456"/>
        <c:crosses val="autoZero"/>
        <c:crossBetween val="between"/>
      </c:valAx>
    </c:plotArea>
    <c:legend>
      <c:legendPos val="b"/>
      <c:layout/>
    </c:legend>
    <c:plotVisOnly val="1"/>
  </c:chart>
  <c:printSettings>
    <c:headerFooter/>
    <c:pageMargins b="0.75000000000000466" l="0.70000000000000062" r="0.70000000000000062" t="0.75000000000000466"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902546447739652"/>
          <c:y val="5.9602369144917094E-2"/>
          <c:w val="0.6405999116539659"/>
          <c:h val="0.65954874945941711"/>
        </c:manualLayout>
      </c:layout>
      <c:barChart>
        <c:barDir val="col"/>
        <c:grouping val="stacked"/>
        <c:ser>
          <c:idx val="0"/>
          <c:order val="0"/>
          <c:tx>
            <c:v>Weather normalized source kBtu/sf-year</c:v>
          </c:tx>
          <c:spPr>
            <a:solidFill>
              <a:srgbClr val="7030A0"/>
            </a:solidFill>
          </c:spPr>
          <c:cat>
            <c:strRef>
              <c:f>'Site and Src EUI (3)'!$D$9:$D$21</c:f>
              <c:strCache>
                <c:ptCount val="13"/>
                <c:pt idx="0">
                  <c:v>Belmont-2</c:v>
                </c:pt>
                <c:pt idx="1">
                  <c:v>Arlington-2</c:v>
                </c:pt>
                <c:pt idx="2">
                  <c:v>Jamaica Plain-3</c:v>
                </c:pt>
                <c:pt idx="3">
                  <c:v>Belchertown</c:v>
                </c:pt>
                <c:pt idx="4">
                  <c:v>Millbury</c:v>
                </c:pt>
                <c:pt idx="5">
                  <c:v>Milton</c:v>
                </c:pt>
                <c:pt idx="6">
                  <c:v>Quincy</c:v>
                </c:pt>
                <c:pt idx="7">
                  <c:v>Newton</c:v>
                </c:pt>
                <c:pt idx="8">
                  <c:v>Northampton</c:v>
                </c:pt>
                <c:pt idx="9">
                  <c:v>Lancaster</c:v>
                </c:pt>
                <c:pt idx="10">
                  <c:v>Brookline</c:v>
                </c:pt>
                <c:pt idx="11">
                  <c:v>Westford</c:v>
                </c:pt>
                <c:pt idx="12">
                  <c:v>Gloucester</c:v>
                </c:pt>
              </c:strCache>
            </c:strRef>
          </c:cat>
          <c:val>
            <c:numRef>
              <c:f>'Site and Src EUI (3)'!$U$9:$U$21</c:f>
              <c:numCache>
                <c:formatCode>0</c:formatCode>
                <c:ptCount val="13"/>
                <c:pt idx="0">
                  <c:v>32.149748322147651</c:v>
                </c:pt>
                <c:pt idx="1">
                  <c:v>60.515577612351805</c:v>
                </c:pt>
                <c:pt idx="2">
                  <c:v>42.777348777348777</c:v>
                </c:pt>
                <c:pt idx="3">
                  <c:v>27.645516518091242</c:v>
                </c:pt>
                <c:pt idx="4">
                  <c:v>74.951820128479653</c:v>
                </c:pt>
                <c:pt idx="5">
                  <c:v>46.511824324324323</c:v>
                </c:pt>
                <c:pt idx="6">
                  <c:v>31.778846153846153</c:v>
                </c:pt>
                <c:pt idx="7">
                  <c:v>58.130968622100958</c:v>
                </c:pt>
                <c:pt idx="8">
                  <c:v>33.924281033855117</c:v>
                </c:pt>
                <c:pt idx="9">
                  <c:v>0</c:v>
                </c:pt>
                <c:pt idx="10">
                  <c:v>0</c:v>
                </c:pt>
                <c:pt idx="11">
                  <c:v>0</c:v>
                </c:pt>
                <c:pt idx="12">
                  <c:v>0</c:v>
                </c:pt>
              </c:numCache>
            </c:numRef>
          </c:val>
        </c:ser>
        <c:ser>
          <c:idx val="1"/>
          <c:order val="1"/>
          <c:tx>
            <c:v>Weather normalized projected source kBtu/sf-year</c:v>
          </c:tx>
          <c:spPr>
            <a:noFill/>
            <a:ln>
              <a:solidFill>
                <a:srgbClr val="7030A0"/>
              </a:solidFill>
            </a:ln>
          </c:spPr>
          <c:cat>
            <c:strRef>
              <c:f>'Site and Src EUI (3)'!$D$9:$D$21</c:f>
              <c:strCache>
                <c:ptCount val="13"/>
                <c:pt idx="0">
                  <c:v>Belmont-2</c:v>
                </c:pt>
                <c:pt idx="1">
                  <c:v>Arlington-2</c:v>
                </c:pt>
                <c:pt idx="2">
                  <c:v>Jamaica Plain-3</c:v>
                </c:pt>
                <c:pt idx="3">
                  <c:v>Belchertown</c:v>
                </c:pt>
                <c:pt idx="4">
                  <c:v>Millbury</c:v>
                </c:pt>
                <c:pt idx="5">
                  <c:v>Milton</c:v>
                </c:pt>
                <c:pt idx="6">
                  <c:v>Quincy</c:v>
                </c:pt>
                <c:pt idx="7">
                  <c:v>Newton</c:v>
                </c:pt>
                <c:pt idx="8">
                  <c:v>Northampton</c:v>
                </c:pt>
                <c:pt idx="9">
                  <c:v>Lancaster</c:v>
                </c:pt>
                <c:pt idx="10">
                  <c:v>Brookline</c:v>
                </c:pt>
                <c:pt idx="11">
                  <c:v>Westford</c:v>
                </c:pt>
                <c:pt idx="12">
                  <c:v>Gloucester</c:v>
                </c:pt>
              </c:strCache>
            </c:strRef>
          </c:cat>
          <c:val>
            <c:numRef>
              <c:f>'Site and Src EUI (3)'!$AC$9:$AC$21</c:f>
              <c:numCache>
                <c:formatCode>0</c:formatCode>
                <c:ptCount val="13"/>
                <c:pt idx="0">
                  <c:v>0</c:v>
                </c:pt>
                <c:pt idx="1">
                  <c:v>0</c:v>
                </c:pt>
                <c:pt idx="2">
                  <c:v>0</c:v>
                </c:pt>
                <c:pt idx="3">
                  <c:v>0</c:v>
                </c:pt>
                <c:pt idx="4">
                  <c:v>0</c:v>
                </c:pt>
                <c:pt idx="5">
                  <c:v>0</c:v>
                </c:pt>
                <c:pt idx="6">
                  <c:v>0</c:v>
                </c:pt>
                <c:pt idx="7">
                  <c:v>0</c:v>
                </c:pt>
                <c:pt idx="8">
                  <c:v>0</c:v>
                </c:pt>
                <c:pt idx="9">
                  <c:v>71.465277777777771</c:v>
                </c:pt>
                <c:pt idx="10">
                  <c:v>31.014492753623188</c:v>
                </c:pt>
                <c:pt idx="11">
                  <c:v>56.111251580278136</c:v>
                </c:pt>
                <c:pt idx="12">
                  <c:v>59.789603960396036</c:v>
                </c:pt>
              </c:numCache>
            </c:numRef>
          </c:val>
        </c:ser>
        <c:overlap val="100"/>
        <c:axId val="72285568"/>
        <c:axId val="72373376"/>
      </c:barChart>
      <c:catAx>
        <c:axId val="72285568"/>
        <c:scaling>
          <c:orientation val="minMax"/>
        </c:scaling>
        <c:axPos val="b"/>
        <c:tickLblPos val="nextTo"/>
        <c:crossAx val="72373376"/>
        <c:crossesAt val="0"/>
        <c:auto val="1"/>
        <c:lblAlgn val="ctr"/>
        <c:lblOffset val="100"/>
      </c:catAx>
      <c:valAx>
        <c:axId val="72373376"/>
        <c:scaling>
          <c:orientation val="minMax"/>
          <c:max val="80"/>
        </c:scaling>
        <c:axPos val="l"/>
        <c:majorGridlines/>
        <c:minorGridlines/>
        <c:numFmt formatCode="0" sourceLinked="1"/>
        <c:tickLblPos val="nextTo"/>
        <c:crossAx val="72285568"/>
        <c:crosses val="autoZero"/>
        <c:crossBetween val="between"/>
        <c:majorUnit val="10"/>
        <c:minorUnit val="5"/>
      </c:valAx>
    </c:plotArea>
    <c:legend>
      <c:legendPos val="b"/>
      <c:layout/>
    </c:legend>
    <c:plotVisOnly val="1"/>
  </c:chart>
  <c:printSettings>
    <c:headerFooter/>
    <c:pageMargins b="0.75000000000000722" l="0.70000000000000062" r="0.70000000000000062" t="0.75000000000000722"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9.4070125410506397E-2"/>
          <c:y val="4.9197234492030714E-2"/>
          <c:w val="0.88200382782494757"/>
          <c:h val="0.6053946610332247"/>
        </c:manualLayout>
      </c:layout>
      <c:barChart>
        <c:barDir val="col"/>
        <c:grouping val="clustered"/>
        <c:ser>
          <c:idx val="0"/>
          <c:order val="0"/>
          <c:tx>
            <c:v>6 mo site kBtu/sf</c:v>
          </c:tx>
          <c:cat>
            <c:strRef>
              <c:f>'Site and Src EUI Not Used'!$D$9:$D$21</c:f>
              <c:strCache>
                <c:ptCount val="13"/>
                <c:pt idx="0">
                  <c:v>Belchertown</c:v>
                </c:pt>
                <c:pt idx="1">
                  <c:v>Brookline</c:v>
                </c:pt>
                <c:pt idx="2">
                  <c:v>Northampton</c:v>
                </c:pt>
                <c:pt idx="3">
                  <c:v>Quincy</c:v>
                </c:pt>
                <c:pt idx="4">
                  <c:v>Belmont</c:v>
                </c:pt>
                <c:pt idx="5">
                  <c:v>Jamaica Plain</c:v>
                </c:pt>
                <c:pt idx="6">
                  <c:v>Milton</c:v>
                </c:pt>
                <c:pt idx="7">
                  <c:v>Newton</c:v>
                </c:pt>
                <c:pt idx="8">
                  <c:v>Arlington</c:v>
                </c:pt>
                <c:pt idx="9">
                  <c:v>Westford</c:v>
                </c:pt>
                <c:pt idx="10">
                  <c:v>Gloucester</c:v>
                </c:pt>
                <c:pt idx="11">
                  <c:v>Millbury</c:v>
                </c:pt>
                <c:pt idx="12">
                  <c:v>Lancaster</c:v>
                </c:pt>
              </c:strCache>
            </c:strRef>
          </c:cat>
          <c:val>
            <c:numRef>
              <c:f>'Site and Src EUI Not Used'!$R$9:$R$21</c:f>
              <c:numCache>
                <c:formatCode>0.00</c:formatCode>
                <c:ptCount val="13"/>
                <c:pt idx="0">
                  <c:v>7.9181961195595179</c:v>
                </c:pt>
                <c:pt idx="1">
                  <c:v>8.8342785129174537</c:v>
                </c:pt>
                <c:pt idx="2">
                  <c:v>4.5067346195850018</c:v>
                </c:pt>
                <c:pt idx="3">
                  <c:v>6.4838286713286717</c:v>
                </c:pt>
                <c:pt idx="4">
                  <c:v>6.0696308724832218</c:v>
                </c:pt>
                <c:pt idx="5">
                  <c:v>12.96010296010296</c:v>
                </c:pt>
                <c:pt idx="6">
                  <c:v>11.000844594594595</c:v>
                </c:pt>
                <c:pt idx="7">
                  <c:v>12.8831286948613</c:v>
                </c:pt>
                <c:pt idx="8">
                  <c:v>12.24703611800386</c:v>
                </c:pt>
                <c:pt idx="9">
                  <c:v>14.326169405815424</c:v>
                </c:pt>
                <c:pt idx="10">
                  <c:v>8.0651815181518156</c:v>
                </c:pt>
                <c:pt idx="11">
                  <c:v>11.381156316916488</c:v>
                </c:pt>
                <c:pt idx="12">
                  <c:v>15.458333333333334</c:v>
                </c:pt>
              </c:numCache>
            </c:numRef>
          </c:val>
        </c:ser>
        <c:ser>
          <c:idx val="1"/>
          <c:order val="1"/>
          <c:tx>
            <c:v>6 mo source kBtu/sf</c:v>
          </c:tx>
          <c:cat>
            <c:strRef>
              <c:f>'Site and Src EUI Not Used'!$D$9:$D$21</c:f>
              <c:strCache>
                <c:ptCount val="13"/>
                <c:pt idx="0">
                  <c:v>Belchertown</c:v>
                </c:pt>
                <c:pt idx="1">
                  <c:v>Brookline</c:v>
                </c:pt>
                <c:pt idx="2">
                  <c:v>Northampton</c:v>
                </c:pt>
                <c:pt idx="3">
                  <c:v>Quincy</c:v>
                </c:pt>
                <c:pt idx="4">
                  <c:v>Belmont</c:v>
                </c:pt>
                <c:pt idx="5">
                  <c:v>Jamaica Plain</c:v>
                </c:pt>
                <c:pt idx="6">
                  <c:v>Milton</c:v>
                </c:pt>
                <c:pt idx="7">
                  <c:v>Newton</c:v>
                </c:pt>
                <c:pt idx="8">
                  <c:v>Arlington</c:v>
                </c:pt>
                <c:pt idx="9">
                  <c:v>Westford</c:v>
                </c:pt>
                <c:pt idx="10">
                  <c:v>Gloucester</c:v>
                </c:pt>
                <c:pt idx="11">
                  <c:v>Millbury</c:v>
                </c:pt>
                <c:pt idx="12">
                  <c:v>Lancaster</c:v>
                </c:pt>
              </c:strCache>
            </c:strRef>
          </c:cat>
          <c:val>
            <c:numRef>
              <c:f>'Site and Src EUI Not Used'!$U$9:$U$21</c:f>
              <c:numCache>
                <c:formatCode>0.00</c:formatCode>
                <c:ptCount val="13"/>
                <c:pt idx="0">
                  <c:v>11.688515993707394</c:v>
                </c:pt>
                <c:pt idx="1">
                  <c:v>13.683049779458097</c:v>
                </c:pt>
                <c:pt idx="2">
                  <c:v>15.05278485620677</c:v>
                </c:pt>
                <c:pt idx="3">
                  <c:v>15.24256993006993</c:v>
                </c:pt>
                <c:pt idx="4">
                  <c:v>16.231124161073826</c:v>
                </c:pt>
                <c:pt idx="5">
                  <c:v>19.43886743886744</c:v>
                </c:pt>
                <c:pt idx="6">
                  <c:v>21.342905405405407</c:v>
                </c:pt>
                <c:pt idx="7">
                  <c:v>25.202364711232377</c:v>
                </c:pt>
                <c:pt idx="8">
                  <c:v>25.288116901020128</c:v>
                </c:pt>
                <c:pt idx="9">
                  <c:v>26.106194690265486</c:v>
                </c:pt>
                <c:pt idx="10">
                  <c:v>26.93069306930693</c:v>
                </c:pt>
                <c:pt idx="11">
                  <c:v>33.672376873661669</c:v>
                </c:pt>
                <c:pt idx="12">
                  <c:v>34.743055555555557</c:v>
                </c:pt>
              </c:numCache>
            </c:numRef>
          </c:val>
        </c:ser>
        <c:ser>
          <c:idx val="2"/>
          <c:order val="2"/>
          <c:tx>
            <c:v>6 mo source kBtu/sf w on-site generation credit</c:v>
          </c:tx>
          <c:spPr>
            <a:solidFill>
              <a:srgbClr val="00B050"/>
            </a:solidFill>
          </c:spPr>
          <c:cat>
            <c:strRef>
              <c:f>'Site and Src EUI Not Used'!$D$9:$D$21</c:f>
              <c:strCache>
                <c:ptCount val="13"/>
                <c:pt idx="0">
                  <c:v>Belchertown</c:v>
                </c:pt>
                <c:pt idx="1">
                  <c:v>Brookline</c:v>
                </c:pt>
                <c:pt idx="2">
                  <c:v>Northampton</c:v>
                </c:pt>
                <c:pt idx="3">
                  <c:v>Quincy</c:v>
                </c:pt>
                <c:pt idx="4">
                  <c:v>Belmont</c:v>
                </c:pt>
                <c:pt idx="5">
                  <c:v>Jamaica Plain</c:v>
                </c:pt>
                <c:pt idx="6">
                  <c:v>Milton</c:v>
                </c:pt>
                <c:pt idx="7">
                  <c:v>Newton</c:v>
                </c:pt>
                <c:pt idx="8">
                  <c:v>Arlington</c:v>
                </c:pt>
                <c:pt idx="9">
                  <c:v>Westford</c:v>
                </c:pt>
                <c:pt idx="10">
                  <c:v>Gloucester</c:v>
                </c:pt>
                <c:pt idx="11">
                  <c:v>Millbury</c:v>
                </c:pt>
                <c:pt idx="12">
                  <c:v>Lancaster</c:v>
                </c:pt>
              </c:strCache>
            </c:strRef>
          </c:cat>
          <c:val>
            <c:numRef>
              <c:f>'Site and Src EUI Not Used'!$V$9:$V$21</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axId val="72435968"/>
        <c:axId val="72454144"/>
      </c:barChart>
      <c:catAx>
        <c:axId val="72435968"/>
        <c:scaling>
          <c:orientation val="minMax"/>
        </c:scaling>
        <c:axPos val="b"/>
        <c:tickLblPos val="nextTo"/>
        <c:crossAx val="72454144"/>
        <c:crosses val="autoZero"/>
        <c:auto val="1"/>
        <c:lblAlgn val="ctr"/>
        <c:lblOffset val="100"/>
      </c:catAx>
      <c:valAx>
        <c:axId val="72454144"/>
        <c:scaling>
          <c:orientation val="minMax"/>
          <c:max val="35"/>
        </c:scaling>
        <c:axPos val="l"/>
        <c:majorGridlines/>
        <c:numFmt formatCode="0" sourceLinked="0"/>
        <c:tickLblPos val="nextTo"/>
        <c:crossAx val="72435968"/>
        <c:crosses val="autoZero"/>
        <c:crossBetween val="between"/>
      </c:valAx>
    </c:plotArea>
    <c:legend>
      <c:legendPos val="b"/>
      <c:layout/>
    </c:legend>
    <c:plotVisOnly val="1"/>
  </c:chart>
  <c:printSettings>
    <c:headerFooter/>
    <c:pageMargins b="0.75000000000000644" l="0.70000000000000062" r="0.70000000000000062" t="0.75000000000000644"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a:t>6 mo</a:t>
            </a:r>
            <a:r>
              <a:rPr lang="en-US" sz="1400" baseline="0"/>
              <a:t> source kBtu/sf vs source-site ratio</a:t>
            </a:r>
            <a:endParaRPr lang="en-US" sz="1400"/>
          </a:p>
        </c:rich>
      </c:tx>
      <c:layout/>
    </c:title>
    <c:plotArea>
      <c:layout>
        <c:manualLayout>
          <c:layoutTarget val="inner"/>
          <c:xMode val="edge"/>
          <c:yMode val="edge"/>
          <c:x val="0.15738793438812784"/>
          <c:y val="0.18399715660542673"/>
          <c:w val="0.73788420912676722"/>
          <c:h val="0.50094889180519164"/>
        </c:manualLayout>
      </c:layout>
      <c:scatterChart>
        <c:scatterStyle val="lineMarker"/>
        <c:ser>
          <c:idx val="0"/>
          <c:order val="0"/>
          <c:tx>
            <c:v>Source-site ratio vs 6 mo source kBtu/sf</c:v>
          </c:tx>
          <c:spPr>
            <a:ln w="28575">
              <a:noFill/>
            </a:ln>
          </c:spPr>
          <c:marker>
            <c:spPr>
              <a:solidFill>
                <a:schemeClr val="accent1"/>
              </a:solidFill>
            </c:spPr>
          </c:marker>
          <c:xVal>
            <c:numRef>
              <c:f>'Site and Src EUI Not Used'!$W$9:$W$21</c:f>
              <c:numCache>
                <c:formatCode>0.00</c:formatCode>
                <c:ptCount val="13"/>
                <c:pt idx="0">
                  <c:v>1.476158940397351</c:v>
                </c:pt>
                <c:pt idx="1">
                  <c:v>1.5488587731811698</c:v>
                </c:pt>
                <c:pt idx="2">
                  <c:v>3.3400646203554119</c:v>
                </c:pt>
                <c:pt idx="3">
                  <c:v>2.3508594539939329</c:v>
                </c:pt>
                <c:pt idx="4">
                  <c:v>2.6741534208707671</c:v>
                </c:pt>
                <c:pt idx="5">
                  <c:v>1.4999006951340614</c:v>
                </c:pt>
                <c:pt idx="6">
                  <c:v>1.9401151631477926</c:v>
                </c:pt>
                <c:pt idx="7">
                  <c:v>1.9562301447229087</c:v>
                </c:pt>
                <c:pt idx="8">
                  <c:v>2.064835659612787</c:v>
                </c:pt>
                <c:pt idx="9">
                  <c:v>1.822273208612778</c:v>
                </c:pt>
                <c:pt idx="10">
                  <c:v>3.3391304347826085</c:v>
                </c:pt>
                <c:pt idx="11">
                  <c:v>2.9586077140169329</c:v>
                </c:pt>
                <c:pt idx="12">
                  <c:v>2.2475292003593887</c:v>
                </c:pt>
              </c:numCache>
            </c:numRef>
          </c:xVal>
          <c:yVal>
            <c:numRef>
              <c:f>'Site and Src EUI Not Used'!$U$9:$U$21</c:f>
              <c:numCache>
                <c:formatCode>0.00</c:formatCode>
                <c:ptCount val="13"/>
                <c:pt idx="0">
                  <c:v>11.688515993707394</c:v>
                </c:pt>
                <c:pt idx="1">
                  <c:v>13.683049779458097</c:v>
                </c:pt>
                <c:pt idx="2">
                  <c:v>15.05278485620677</c:v>
                </c:pt>
                <c:pt idx="3">
                  <c:v>15.24256993006993</c:v>
                </c:pt>
                <c:pt idx="4">
                  <c:v>16.231124161073826</c:v>
                </c:pt>
                <c:pt idx="5">
                  <c:v>19.43886743886744</c:v>
                </c:pt>
                <c:pt idx="6">
                  <c:v>21.342905405405407</c:v>
                </c:pt>
                <c:pt idx="7">
                  <c:v>25.202364711232377</c:v>
                </c:pt>
                <c:pt idx="8">
                  <c:v>25.288116901020128</c:v>
                </c:pt>
                <c:pt idx="9">
                  <c:v>26.106194690265486</c:v>
                </c:pt>
                <c:pt idx="10">
                  <c:v>26.93069306930693</c:v>
                </c:pt>
                <c:pt idx="11">
                  <c:v>33.672376873661669</c:v>
                </c:pt>
                <c:pt idx="12">
                  <c:v>34.743055555555557</c:v>
                </c:pt>
              </c:numCache>
            </c:numRef>
          </c:yVal>
        </c:ser>
        <c:axId val="72469120"/>
        <c:axId val="72471296"/>
      </c:scatterChart>
      <c:valAx>
        <c:axId val="72469120"/>
        <c:scaling>
          <c:orientation val="minMax"/>
          <c:max val="3.5"/>
          <c:min val="1"/>
        </c:scaling>
        <c:axPos val="b"/>
        <c:numFmt formatCode="0.0" sourceLinked="0"/>
        <c:tickLblPos val="nextTo"/>
        <c:crossAx val="72471296"/>
        <c:crosses val="autoZero"/>
        <c:crossBetween val="midCat"/>
      </c:valAx>
      <c:valAx>
        <c:axId val="72471296"/>
        <c:scaling>
          <c:orientation val="minMax"/>
        </c:scaling>
        <c:axPos val="l"/>
        <c:majorGridlines/>
        <c:numFmt formatCode="0" sourceLinked="0"/>
        <c:tickLblPos val="nextTo"/>
        <c:crossAx val="72469120"/>
        <c:crosses val="autoZero"/>
        <c:crossBetween val="midCat"/>
      </c:valAx>
    </c:plotArea>
    <c:plotVisOnly val="1"/>
  </c:chart>
  <c:printSettings>
    <c:headerFooter/>
    <c:pageMargins b="0.75000000000000444" l="0.70000000000000062" r="0.70000000000000062" t="0.750000000000004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9.0207696172730042E-2"/>
          <c:y val="3.0973181120246742E-2"/>
          <c:w val="0.87797213755110182"/>
          <c:h val="0.68363738607632452"/>
        </c:manualLayout>
      </c:layout>
      <c:barChart>
        <c:barDir val="col"/>
        <c:grouping val="stacked"/>
        <c:ser>
          <c:idx val="0"/>
          <c:order val="0"/>
          <c:tx>
            <c:strRef>
              <c:f>'Site and Src EUI Not Used'!$Z$32</c:f>
              <c:strCache>
                <c:ptCount val="1"/>
                <c:pt idx="0">
                  <c:v>electricity</c:v>
                </c:pt>
              </c:strCache>
            </c:strRef>
          </c:tx>
          <c:spPr>
            <a:solidFill>
              <a:srgbClr val="FFFF00"/>
            </a:solidFill>
            <a:ln w="12700">
              <a:solidFill>
                <a:prstClr val="black"/>
              </a:solidFill>
              <a:prstDash val="dash"/>
            </a:ln>
          </c:spPr>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val>
            <c:numRef>
              <c:f>'Site and Src EUI Not Used'!$Z$33:$Z$85</c:f>
              <c:numCache>
                <c:formatCode>General</c:formatCode>
                <c:ptCount val="53"/>
                <c:pt idx="1">
                  <c:v>1.5836392239119035</c:v>
                </c:pt>
                <c:pt idx="5">
                  <c:v>1.9344675488342784</c:v>
                </c:pt>
                <c:pt idx="9">
                  <c:v>4.5067346195850018</c:v>
                </c:pt>
                <c:pt idx="13">
                  <c:v>3.6866258741258742</c:v>
                </c:pt>
                <c:pt idx="17">
                  <c:v>4.3078859060402683</c:v>
                </c:pt>
                <c:pt idx="21">
                  <c:v>2.561132561132561</c:v>
                </c:pt>
                <c:pt idx="25">
                  <c:v>4.2863175675675675</c:v>
                </c:pt>
                <c:pt idx="29">
                  <c:v>5.106866757617099</c:v>
                </c:pt>
                <c:pt idx="33">
                  <c:v>5.4370002757099529</c:v>
                </c:pt>
                <c:pt idx="37">
                  <c:v>4.8445006321112514</c:v>
                </c:pt>
                <c:pt idx="41">
                  <c:v>8.0651815181518156</c:v>
                </c:pt>
                <c:pt idx="45">
                  <c:v>9.5235546038543895</c:v>
                </c:pt>
                <c:pt idx="49">
                  <c:v>8.0972222222222214</c:v>
                </c:pt>
              </c:numCache>
            </c:numRef>
          </c:val>
        </c:ser>
        <c:ser>
          <c:idx val="1"/>
          <c:order val="1"/>
          <c:tx>
            <c:strRef>
              <c:f>'Site and Src EUI Not Used'!$AA$32</c:f>
              <c:strCache>
                <c:ptCount val="1"/>
                <c:pt idx="0">
                  <c:v>gas/propane</c:v>
                </c:pt>
              </c:strCache>
            </c:strRef>
          </c:tx>
          <c:spPr>
            <a:solidFill>
              <a:schemeClr val="accent1">
                <a:lumMod val="60000"/>
                <a:lumOff val="40000"/>
              </a:schemeClr>
            </a:solidFill>
            <a:ln w="12700">
              <a:solidFill>
                <a:prstClr val="black"/>
              </a:solidFill>
              <a:prstDash val="dash"/>
            </a:ln>
          </c:spPr>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val>
            <c:numRef>
              <c:f>'Site and Src EUI Not Used'!$AA$33:$AA$85</c:f>
              <c:numCache>
                <c:formatCode>General</c:formatCode>
                <c:ptCount val="53"/>
                <c:pt idx="1">
                  <c:v>6.3345568956476139</c:v>
                </c:pt>
                <c:pt idx="5">
                  <c:v>6.8998109640831755</c:v>
                </c:pt>
                <c:pt idx="9">
                  <c:v>0</c:v>
                </c:pt>
                <c:pt idx="13">
                  <c:v>2.7972027972027971</c:v>
                </c:pt>
                <c:pt idx="17">
                  <c:v>1.761744966442953</c:v>
                </c:pt>
                <c:pt idx="21">
                  <c:v>10.398970398970398</c:v>
                </c:pt>
                <c:pt idx="25">
                  <c:v>6.7145270270270272</c:v>
                </c:pt>
                <c:pt idx="29">
                  <c:v>7.7762619372442021</c:v>
                </c:pt>
                <c:pt idx="33">
                  <c:v>6.8100358422939067</c:v>
                </c:pt>
                <c:pt idx="37">
                  <c:v>9.4816687737041718</c:v>
                </c:pt>
                <c:pt idx="41">
                  <c:v>0</c:v>
                </c:pt>
                <c:pt idx="45">
                  <c:v>1.3650963597430408</c:v>
                </c:pt>
                <c:pt idx="49">
                  <c:v>7.3611111111111107</c:v>
                </c:pt>
              </c:numCache>
            </c:numRef>
          </c:val>
        </c:ser>
        <c:ser>
          <c:idx val="2"/>
          <c:order val="2"/>
          <c:tx>
            <c:strRef>
              <c:f>'Site and Src EUI Not Used'!$AB$32</c:f>
              <c:strCache>
                <c:ptCount val="1"/>
                <c:pt idx="0">
                  <c:v>other</c:v>
                </c:pt>
              </c:strCache>
            </c:strRef>
          </c:tx>
          <c:spPr>
            <a:solidFill>
              <a:schemeClr val="tx1">
                <a:lumMod val="50000"/>
                <a:lumOff val="50000"/>
              </a:schemeClr>
            </a:solidFill>
            <a:ln w="12700">
              <a:solidFill>
                <a:prstClr val="black"/>
              </a:solidFill>
              <a:prstDash val="dash"/>
            </a:ln>
          </c:spPr>
          <c:dPt>
            <c:idx val="45"/>
            <c:spPr>
              <a:solidFill>
                <a:schemeClr val="accent4">
                  <a:lumMod val="60000"/>
                  <a:lumOff val="40000"/>
                </a:schemeClr>
              </a:solidFill>
              <a:ln w="12700">
                <a:solidFill>
                  <a:prstClr val="black"/>
                </a:solidFill>
                <a:prstDash val="dash"/>
              </a:ln>
            </c:spPr>
          </c:dPt>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val>
            <c:numRef>
              <c:f>'Site and Src EUI Not Used'!$AB$33:$AB$85</c:f>
              <c:numCache>
                <c:formatCode>General</c:formatCode>
                <c:ptCount val="53"/>
                <c:pt idx="1">
                  <c:v>0</c:v>
                </c:pt>
                <c:pt idx="5">
                  <c:v>0</c:v>
                </c:pt>
                <c:pt idx="9">
                  <c:v>0</c:v>
                </c:pt>
                <c:pt idx="13">
                  <c:v>0</c:v>
                </c:pt>
                <c:pt idx="17">
                  <c:v>0</c:v>
                </c:pt>
                <c:pt idx="21">
                  <c:v>0</c:v>
                </c:pt>
                <c:pt idx="25">
                  <c:v>0</c:v>
                </c:pt>
                <c:pt idx="29">
                  <c:v>0</c:v>
                </c:pt>
                <c:pt idx="33">
                  <c:v>0</c:v>
                </c:pt>
                <c:pt idx="37">
                  <c:v>0</c:v>
                </c:pt>
                <c:pt idx="41">
                  <c:v>0</c:v>
                </c:pt>
                <c:pt idx="45">
                  <c:v>0.49785867237687365</c:v>
                </c:pt>
                <c:pt idx="49">
                  <c:v>0</c:v>
                </c:pt>
              </c:numCache>
            </c:numRef>
          </c:val>
        </c:ser>
        <c:ser>
          <c:idx val="3"/>
          <c:order val="3"/>
          <c:tx>
            <c:strRef>
              <c:f>'Site and Src EUI Not Used'!$AC$32</c:f>
              <c:strCache>
                <c:ptCount val="1"/>
                <c:pt idx="0">
                  <c:v>electricity</c:v>
                </c:pt>
              </c:strCache>
            </c:strRef>
          </c:tx>
          <c:spPr>
            <a:solidFill>
              <a:srgbClr val="FFFF00"/>
            </a:solidFill>
            <a:ln w="12700">
              <a:solidFill>
                <a:prstClr val="black"/>
              </a:solidFill>
            </a:ln>
          </c:spPr>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val>
            <c:numRef>
              <c:f>'Site and Src EUI Not Used'!$AC$33:$AC$85</c:f>
              <c:numCache>
                <c:formatCode>General</c:formatCode>
                <c:ptCount val="53"/>
                <c:pt idx="2">
                  <c:v>5.291033036182486</c:v>
                </c:pt>
                <c:pt idx="6">
                  <c:v>6.4587271581600501</c:v>
                </c:pt>
                <c:pt idx="10">
                  <c:v>15.05278485620677</c:v>
                </c:pt>
                <c:pt idx="14">
                  <c:v>12.314248251748252</c:v>
                </c:pt>
                <c:pt idx="18">
                  <c:v>14.385486577181208</c:v>
                </c:pt>
                <c:pt idx="22">
                  <c:v>8.55083655083655</c:v>
                </c:pt>
                <c:pt idx="26">
                  <c:v>14.315878378378379</c:v>
                </c:pt>
                <c:pt idx="30">
                  <c:v>17.062301045929967</c:v>
                </c:pt>
                <c:pt idx="34">
                  <c:v>18.15550041356493</c:v>
                </c:pt>
                <c:pt idx="38">
                  <c:v>16.176991150442479</c:v>
                </c:pt>
                <c:pt idx="42">
                  <c:v>26.93069306930693</c:v>
                </c:pt>
                <c:pt idx="46">
                  <c:v>31.798715203426124</c:v>
                </c:pt>
                <c:pt idx="50">
                  <c:v>27.034722222222221</c:v>
                </c:pt>
              </c:numCache>
            </c:numRef>
          </c:val>
        </c:ser>
        <c:ser>
          <c:idx val="4"/>
          <c:order val="4"/>
          <c:tx>
            <c:strRef>
              <c:f>'Site and Src EUI Not Used'!$AD$32</c:f>
              <c:strCache>
                <c:ptCount val="1"/>
                <c:pt idx="0">
                  <c:v>gas/propane</c:v>
                </c:pt>
              </c:strCache>
            </c:strRef>
          </c:tx>
          <c:spPr>
            <a:solidFill>
              <a:schemeClr val="accent1">
                <a:lumMod val="60000"/>
                <a:lumOff val="40000"/>
              </a:schemeClr>
            </a:solidFill>
            <a:ln w="12700">
              <a:solidFill>
                <a:prstClr val="black"/>
              </a:solidFill>
            </a:ln>
          </c:spPr>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val>
            <c:numRef>
              <c:f>'Site and Src EUI Not Used'!$AD$33:$AD$85</c:f>
              <c:numCache>
                <c:formatCode>General</c:formatCode>
                <c:ptCount val="53"/>
                <c:pt idx="2">
                  <c:v>6.3974829575249084</c:v>
                </c:pt>
                <c:pt idx="6">
                  <c:v>7.2243226212980467</c:v>
                </c:pt>
                <c:pt idx="10">
                  <c:v>0</c:v>
                </c:pt>
                <c:pt idx="14">
                  <c:v>2.9283216783216783</c:v>
                </c:pt>
                <c:pt idx="18">
                  <c:v>1.8435402684563758</c:v>
                </c:pt>
                <c:pt idx="22">
                  <c:v>10.888030888030888</c:v>
                </c:pt>
                <c:pt idx="26">
                  <c:v>7.03125</c:v>
                </c:pt>
                <c:pt idx="30">
                  <c:v>8.1400636653024101</c:v>
                </c:pt>
                <c:pt idx="34">
                  <c:v>7.1298593879239043</c:v>
                </c:pt>
                <c:pt idx="38">
                  <c:v>9.9266750948166873</c:v>
                </c:pt>
                <c:pt idx="42">
                  <c:v>0</c:v>
                </c:pt>
                <c:pt idx="46">
                  <c:v>1.3758029978586723</c:v>
                </c:pt>
                <c:pt idx="50">
                  <c:v>7.708333333333333</c:v>
                </c:pt>
              </c:numCache>
            </c:numRef>
          </c:val>
        </c:ser>
        <c:ser>
          <c:idx val="5"/>
          <c:order val="5"/>
          <c:tx>
            <c:strRef>
              <c:f>'Site and Src EUI Not Used'!$AE$32</c:f>
              <c:strCache>
                <c:ptCount val="1"/>
                <c:pt idx="0">
                  <c:v>other</c:v>
                </c:pt>
              </c:strCache>
            </c:strRef>
          </c:tx>
          <c:spPr>
            <a:solidFill>
              <a:schemeClr val="tx1">
                <a:lumMod val="50000"/>
                <a:lumOff val="50000"/>
              </a:schemeClr>
            </a:solidFill>
            <a:ln w="12700">
              <a:solidFill>
                <a:prstClr val="black"/>
              </a:solidFill>
            </a:ln>
          </c:spPr>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val>
            <c:numRef>
              <c:f>'Site and Src EUI Not Used'!$AE$33:$AE$85</c:f>
              <c:numCache>
                <c:formatCode>General</c:formatCode>
                <c:ptCount val="53"/>
                <c:pt idx="2">
                  <c:v>0</c:v>
                </c:pt>
                <c:pt idx="6">
                  <c:v>0</c:v>
                </c:pt>
                <c:pt idx="10">
                  <c:v>0</c:v>
                </c:pt>
                <c:pt idx="14">
                  <c:v>0</c:v>
                </c:pt>
                <c:pt idx="18">
                  <c:v>0</c:v>
                </c:pt>
                <c:pt idx="22">
                  <c:v>0</c:v>
                </c:pt>
                <c:pt idx="26">
                  <c:v>0</c:v>
                </c:pt>
                <c:pt idx="30">
                  <c:v>0</c:v>
                </c:pt>
                <c:pt idx="34">
                  <c:v>0</c:v>
                </c:pt>
                <c:pt idx="38">
                  <c:v>0</c:v>
                </c:pt>
                <c:pt idx="42">
                  <c:v>0</c:v>
                </c:pt>
                <c:pt idx="46">
                  <c:v>0.49785867237687365</c:v>
                </c:pt>
                <c:pt idx="50">
                  <c:v>0</c:v>
                </c:pt>
              </c:numCache>
            </c:numRef>
          </c:val>
        </c:ser>
        <c:ser>
          <c:idx val="6"/>
          <c:order val="6"/>
          <c:tx>
            <c:strRef>
              <c:f>'Site and Src EUI Not Used'!$AF$32</c:f>
              <c:strCache>
                <c:ptCount val="1"/>
                <c:pt idx="0">
                  <c:v> electricity</c:v>
                </c:pt>
              </c:strCache>
            </c:strRef>
          </c:tx>
          <c:spPr>
            <a:solidFill>
              <a:srgbClr val="FFFF00"/>
            </a:solidFill>
            <a:ln w="15875">
              <a:solidFill>
                <a:prstClr val="black"/>
              </a:solidFill>
              <a:prstDash val="sysDash"/>
            </a:ln>
          </c:spPr>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val>
            <c:numRef>
              <c:f>'Site and Src EUI Not Used'!$AF$33:$AF$85</c:f>
              <c:numCache>
                <c:formatCode>General</c:formatCode>
                <c:ptCount val="53"/>
                <c:pt idx="3">
                  <c:v>0</c:v>
                </c:pt>
                <c:pt idx="7">
                  <c:v>0</c:v>
                </c:pt>
                <c:pt idx="11">
                  <c:v>0</c:v>
                </c:pt>
                <c:pt idx="15">
                  <c:v>0</c:v>
                </c:pt>
                <c:pt idx="19">
                  <c:v>0</c:v>
                </c:pt>
                <c:pt idx="23">
                  <c:v>0</c:v>
                </c:pt>
                <c:pt idx="27">
                  <c:v>0</c:v>
                </c:pt>
                <c:pt idx="31">
                  <c:v>0</c:v>
                </c:pt>
                <c:pt idx="35">
                  <c:v>0</c:v>
                </c:pt>
                <c:pt idx="39">
                  <c:v>0</c:v>
                </c:pt>
                <c:pt idx="43">
                  <c:v>0</c:v>
                </c:pt>
                <c:pt idx="47">
                  <c:v>0</c:v>
                </c:pt>
                <c:pt idx="51">
                  <c:v>0</c:v>
                </c:pt>
              </c:numCache>
            </c:numRef>
          </c:val>
        </c:ser>
        <c:ser>
          <c:idx val="7"/>
          <c:order val="7"/>
          <c:tx>
            <c:strRef>
              <c:f>'Site and Src EUI Not Used'!$AG$32</c:f>
              <c:strCache>
                <c:ptCount val="1"/>
                <c:pt idx="0">
                  <c:v>generated electricity</c:v>
                </c:pt>
              </c:strCache>
            </c:strRef>
          </c:tx>
          <c:spPr>
            <a:solidFill>
              <a:srgbClr val="FFFF00"/>
            </a:solidFill>
            <a:ln w="19050">
              <a:solidFill>
                <a:srgbClr val="00B050"/>
              </a:solidFill>
              <a:prstDash val="solid"/>
            </a:ln>
          </c:spPr>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val>
            <c:numRef>
              <c:f>'Site and Src EUI Not Used'!$AG$33:$AG$85</c:f>
              <c:numCache>
                <c:formatCode>General</c:formatCode>
                <c:ptCount val="53"/>
                <c:pt idx="3" formatCode="0.00">
                  <c:v>0</c:v>
                </c:pt>
                <c:pt idx="7" formatCode="0.00">
                  <c:v>0</c:v>
                </c:pt>
                <c:pt idx="11" formatCode="0.00">
                  <c:v>3.9716053876956678</c:v>
                </c:pt>
                <c:pt idx="15" formatCode="0.00">
                  <c:v>3.19493006993007</c:v>
                </c:pt>
                <c:pt idx="19" formatCode="0.00">
                  <c:v>2.6572986577181208</c:v>
                </c:pt>
                <c:pt idx="23" formatCode="0.00">
                  <c:v>1.2612612612612613</c:v>
                </c:pt>
                <c:pt idx="27" formatCode="0.00">
                  <c:v>3.0405405405405403</c:v>
                </c:pt>
                <c:pt idx="31" formatCode="0.00">
                  <c:v>0</c:v>
                </c:pt>
                <c:pt idx="35" formatCode="0.00">
                  <c:v>0</c:v>
                </c:pt>
                <c:pt idx="39" formatCode="0.00">
                  <c:v>0</c:v>
                </c:pt>
                <c:pt idx="43" formatCode="0.00">
                  <c:v>0</c:v>
                </c:pt>
                <c:pt idx="47" formatCode="0.00">
                  <c:v>0</c:v>
                </c:pt>
                <c:pt idx="51" formatCode="0.00">
                  <c:v>4.9375</c:v>
                </c:pt>
              </c:numCache>
            </c:numRef>
          </c:val>
        </c:ser>
        <c:ser>
          <c:idx val="8"/>
          <c:order val="8"/>
          <c:tx>
            <c:strRef>
              <c:f>'Site and Src EUI Not Used'!$AH$32</c:f>
              <c:strCache>
                <c:ptCount val="1"/>
                <c:pt idx="0">
                  <c:v>source gas/propane</c:v>
                </c:pt>
              </c:strCache>
            </c:strRef>
          </c:tx>
          <c:spPr>
            <a:solidFill>
              <a:schemeClr val="accent1">
                <a:lumMod val="60000"/>
                <a:lumOff val="40000"/>
              </a:schemeClr>
            </a:solidFill>
            <a:ln w="12700">
              <a:solidFill>
                <a:prstClr val="black"/>
              </a:solidFill>
              <a:prstDash val="solid"/>
            </a:ln>
          </c:spPr>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val>
            <c:numRef>
              <c:f>'Site and Src EUI Not Used'!$AH$33:$AH$85</c:f>
              <c:numCache>
                <c:formatCode>General</c:formatCode>
                <c:ptCount val="53"/>
                <c:pt idx="3" formatCode="0.00">
                  <c:v>0</c:v>
                </c:pt>
                <c:pt idx="7" formatCode="0.00">
                  <c:v>0</c:v>
                </c:pt>
                <c:pt idx="11" formatCode="0.00">
                  <c:v>0</c:v>
                </c:pt>
                <c:pt idx="15" formatCode="0.00">
                  <c:v>2.9283216783216783</c:v>
                </c:pt>
                <c:pt idx="19" formatCode="0.00">
                  <c:v>1.8435402684563758</c:v>
                </c:pt>
                <c:pt idx="23" formatCode="0.00">
                  <c:v>10.888030888030888</c:v>
                </c:pt>
                <c:pt idx="27" formatCode="0.00">
                  <c:v>7.03125</c:v>
                </c:pt>
                <c:pt idx="31">
                  <c:v>0</c:v>
                </c:pt>
                <c:pt idx="35">
                  <c:v>0</c:v>
                </c:pt>
                <c:pt idx="39">
                  <c:v>0</c:v>
                </c:pt>
                <c:pt idx="43">
                  <c:v>0</c:v>
                </c:pt>
                <c:pt idx="47">
                  <c:v>0</c:v>
                </c:pt>
                <c:pt idx="51" formatCode="0.00">
                  <c:v>7.708333333333333</c:v>
                </c:pt>
              </c:numCache>
            </c:numRef>
          </c:val>
        </c:ser>
        <c:ser>
          <c:idx val="9"/>
          <c:order val="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0"/>
          <c:order val="1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1"/>
          <c:order val="1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2"/>
          <c:order val="1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3"/>
          <c:order val="1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4"/>
          <c:order val="1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5"/>
          <c:order val="1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6"/>
          <c:order val="1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7"/>
          <c:order val="1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8"/>
          <c:order val="1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9"/>
          <c:order val="1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0"/>
          <c:order val="2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1"/>
          <c:order val="2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2"/>
          <c:order val="2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3"/>
          <c:order val="2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4"/>
          <c:order val="2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5"/>
          <c:order val="2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6"/>
          <c:order val="2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7"/>
          <c:order val="2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8"/>
          <c:order val="2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9"/>
          <c:order val="2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30"/>
          <c:order val="3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31"/>
          <c:order val="3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32"/>
          <c:order val="3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33"/>
          <c:order val="3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34"/>
          <c:order val="3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35"/>
          <c:order val="3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36"/>
          <c:order val="3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37"/>
          <c:order val="3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38"/>
          <c:order val="3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39"/>
          <c:order val="3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40"/>
          <c:order val="4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41"/>
          <c:order val="4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42"/>
          <c:order val="4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43"/>
          <c:order val="4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44"/>
          <c:order val="4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45"/>
          <c:order val="4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46"/>
          <c:order val="4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47"/>
          <c:order val="4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48"/>
          <c:order val="4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49"/>
          <c:order val="4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50"/>
          <c:order val="5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51"/>
          <c:order val="5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52"/>
          <c:order val="5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53"/>
          <c:order val="5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54"/>
          <c:order val="5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55"/>
          <c:order val="5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56"/>
          <c:order val="5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57"/>
          <c:order val="5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58"/>
          <c:order val="5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59"/>
          <c:order val="5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60"/>
          <c:order val="6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61"/>
          <c:order val="6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62"/>
          <c:order val="6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63"/>
          <c:order val="6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64"/>
          <c:order val="6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65"/>
          <c:order val="6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66"/>
          <c:order val="6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67"/>
          <c:order val="6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68"/>
          <c:order val="6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69"/>
          <c:order val="6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70"/>
          <c:order val="7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71"/>
          <c:order val="7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72"/>
          <c:order val="7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73"/>
          <c:order val="7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74"/>
          <c:order val="7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75"/>
          <c:order val="7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76"/>
          <c:order val="7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77"/>
          <c:order val="7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78"/>
          <c:order val="7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79"/>
          <c:order val="7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80"/>
          <c:order val="8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81"/>
          <c:order val="8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82"/>
          <c:order val="8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83"/>
          <c:order val="8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84"/>
          <c:order val="8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85"/>
          <c:order val="8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86"/>
          <c:order val="8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87"/>
          <c:order val="8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88"/>
          <c:order val="8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89"/>
          <c:order val="8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90"/>
          <c:order val="9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91"/>
          <c:order val="9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92"/>
          <c:order val="9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93"/>
          <c:order val="9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94"/>
          <c:order val="9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95"/>
          <c:order val="9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96"/>
          <c:order val="9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97"/>
          <c:order val="9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98"/>
          <c:order val="9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99"/>
          <c:order val="9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00"/>
          <c:order val="10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01"/>
          <c:order val="10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02"/>
          <c:order val="10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03"/>
          <c:order val="10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04"/>
          <c:order val="10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05"/>
          <c:order val="10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06"/>
          <c:order val="10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07"/>
          <c:order val="10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08"/>
          <c:order val="10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09"/>
          <c:order val="10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10"/>
          <c:order val="11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11"/>
          <c:order val="11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12"/>
          <c:order val="11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13"/>
          <c:order val="11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14"/>
          <c:order val="11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15"/>
          <c:order val="11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16"/>
          <c:order val="11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17"/>
          <c:order val="11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18"/>
          <c:order val="11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19"/>
          <c:order val="11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20"/>
          <c:order val="12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21"/>
          <c:order val="12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22"/>
          <c:order val="12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23"/>
          <c:order val="12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24"/>
          <c:order val="12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25"/>
          <c:order val="12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26"/>
          <c:order val="12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27"/>
          <c:order val="12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28"/>
          <c:order val="12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29"/>
          <c:order val="12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30"/>
          <c:order val="13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31"/>
          <c:order val="13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32"/>
          <c:order val="13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33"/>
          <c:order val="13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34"/>
          <c:order val="13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35"/>
          <c:order val="13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36"/>
          <c:order val="13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37"/>
          <c:order val="13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38"/>
          <c:order val="13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39"/>
          <c:order val="13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40"/>
          <c:order val="14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41"/>
          <c:order val="14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42"/>
          <c:order val="14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43"/>
          <c:order val="14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44"/>
          <c:order val="14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45"/>
          <c:order val="14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46"/>
          <c:order val="14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47"/>
          <c:order val="14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48"/>
          <c:order val="14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49"/>
          <c:order val="14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50"/>
          <c:order val="15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51"/>
          <c:order val="15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52"/>
          <c:order val="15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53"/>
          <c:order val="15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54"/>
          <c:order val="15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55"/>
          <c:order val="15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56"/>
          <c:order val="15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57"/>
          <c:order val="15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58"/>
          <c:order val="15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59"/>
          <c:order val="15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60"/>
          <c:order val="16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61"/>
          <c:order val="16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62"/>
          <c:order val="16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63"/>
          <c:order val="16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64"/>
          <c:order val="16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65"/>
          <c:order val="16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66"/>
          <c:order val="16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67"/>
          <c:order val="16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68"/>
          <c:order val="16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69"/>
          <c:order val="16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70"/>
          <c:order val="17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71"/>
          <c:order val="17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72"/>
          <c:order val="17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73"/>
          <c:order val="17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74"/>
          <c:order val="17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75"/>
          <c:order val="17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76"/>
          <c:order val="17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77"/>
          <c:order val="17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78"/>
          <c:order val="17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79"/>
          <c:order val="17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80"/>
          <c:order val="18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81"/>
          <c:order val="18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82"/>
          <c:order val="18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83"/>
          <c:order val="18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84"/>
          <c:order val="18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85"/>
          <c:order val="18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86"/>
          <c:order val="18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87"/>
          <c:order val="18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88"/>
          <c:order val="18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89"/>
          <c:order val="18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90"/>
          <c:order val="19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91"/>
          <c:order val="19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92"/>
          <c:order val="19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93"/>
          <c:order val="19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94"/>
          <c:order val="19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95"/>
          <c:order val="19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96"/>
          <c:order val="19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97"/>
          <c:order val="19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98"/>
          <c:order val="19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99"/>
          <c:order val="19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00"/>
          <c:order val="20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01"/>
          <c:order val="20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02"/>
          <c:order val="20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03"/>
          <c:order val="20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04"/>
          <c:order val="20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05"/>
          <c:order val="20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06"/>
          <c:order val="20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07"/>
          <c:order val="20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08"/>
          <c:order val="20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09"/>
          <c:order val="20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10"/>
          <c:order val="21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11"/>
          <c:order val="21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12"/>
          <c:order val="21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13"/>
          <c:order val="21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14"/>
          <c:order val="21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15"/>
          <c:order val="21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16"/>
          <c:order val="21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17"/>
          <c:order val="21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18"/>
          <c:order val="21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19"/>
          <c:order val="21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20"/>
          <c:order val="22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21"/>
          <c:order val="22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22"/>
          <c:order val="22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23"/>
          <c:order val="22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24"/>
          <c:order val="22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25"/>
          <c:order val="22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26"/>
          <c:order val="22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27"/>
          <c:order val="22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28"/>
          <c:order val="22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29"/>
          <c:order val="22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30"/>
          <c:order val="23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31"/>
          <c:order val="23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32"/>
          <c:order val="23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33"/>
          <c:order val="23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34"/>
          <c:order val="23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35"/>
          <c:order val="23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36"/>
          <c:order val="23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37"/>
          <c:order val="23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38"/>
          <c:order val="23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39"/>
          <c:order val="23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40"/>
          <c:order val="24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41"/>
          <c:order val="24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42"/>
          <c:order val="24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43"/>
          <c:order val="24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44"/>
          <c:order val="24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45"/>
          <c:order val="24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46"/>
          <c:order val="24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47"/>
          <c:order val="24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48"/>
          <c:order val="24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49"/>
          <c:order val="24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50"/>
          <c:order val="25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51"/>
          <c:order val="25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52"/>
          <c:order val="25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53"/>
          <c:order val="25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54"/>
          <c:order val="25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gapWidth val="0"/>
        <c:overlap val="100"/>
        <c:axId val="110247296"/>
        <c:axId val="110277760"/>
      </c:barChart>
      <c:catAx>
        <c:axId val="110247296"/>
        <c:scaling>
          <c:orientation val="minMax"/>
        </c:scaling>
        <c:axPos val="b"/>
        <c:tickLblPos val="nextTo"/>
        <c:crossAx val="110277760"/>
        <c:crosses val="autoZero"/>
        <c:auto val="1"/>
        <c:lblAlgn val="ctr"/>
        <c:lblOffset val="100"/>
      </c:catAx>
      <c:valAx>
        <c:axId val="110277760"/>
        <c:scaling>
          <c:orientation val="minMax"/>
          <c:max val="35"/>
        </c:scaling>
        <c:axPos val="l"/>
        <c:majorGridlines/>
        <c:numFmt formatCode="General" sourceLinked="1"/>
        <c:tickLblPos val="nextTo"/>
        <c:crossAx val="110247296"/>
        <c:crosses val="autoZero"/>
        <c:crossBetween val="between"/>
      </c:valAx>
    </c:plotArea>
    <c:plotVisOnly val="1"/>
  </c:chart>
  <c:printSettings>
    <c:headerFooter/>
    <c:pageMargins b="0.75000000000000189" l="0.70000000000000062" r="0.70000000000000062" t="0.75000000000000189"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9.0207696172730042E-2"/>
          <c:y val="3.0973181120246742E-2"/>
          <c:w val="0.87797213755110204"/>
          <c:h val="0.68363738607632452"/>
        </c:manualLayout>
      </c:layout>
      <c:barChart>
        <c:barDir val="col"/>
        <c:grouping val="stacked"/>
        <c:ser>
          <c:idx val="0"/>
          <c:order val="0"/>
          <c:tx>
            <c:strRef>
              <c:f>'Site and Src EUI Not Used'!$Z$32</c:f>
              <c:strCache>
                <c:ptCount val="1"/>
                <c:pt idx="0">
                  <c:v>electricity</c:v>
                </c:pt>
              </c:strCache>
            </c:strRef>
          </c:tx>
          <c:spPr>
            <a:solidFill>
              <a:srgbClr val="FFFF00"/>
            </a:solidFill>
            <a:ln w="12700">
              <a:solidFill>
                <a:prstClr val="black"/>
              </a:solidFill>
              <a:prstDash val="dash"/>
            </a:ln>
          </c:spPr>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val>
            <c:numRef>
              <c:f>'Site and Src EUI Not Used'!$Z$33:$Z$85</c:f>
              <c:numCache>
                <c:formatCode>General</c:formatCode>
                <c:ptCount val="53"/>
                <c:pt idx="1">
                  <c:v>1.5836392239119035</c:v>
                </c:pt>
                <c:pt idx="5">
                  <c:v>1.9344675488342784</c:v>
                </c:pt>
                <c:pt idx="9">
                  <c:v>4.5067346195850018</c:v>
                </c:pt>
                <c:pt idx="13">
                  <c:v>3.6866258741258742</c:v>
                </c:pt>
                <c:pt idx="17">
                  <c:v>4.3078859060402683</c:v>
                </c:pt>
                <c:pt idx="21">
                  <c:v>2.561132561132561</c:v>
                </c:pt>
                <c:pt idx="25">
                  <c:v>4.2863175675675675</c:v>
                </c:pt>
                <c:pt idx="29">
                  <c:v>5.106866757617099</c:v>
                </c:pt>
                <c:pt idx="33">
                  <c:v>5.4370002757099529</c:v>
                </c:pt>
                <c:pt idx="37">
                  <c:v>4.8445006321112514</c:v>
                </c:pt>
                <c:pt idx="41">
                  <c:v>8.0651815181518156</c:v>
                </c:pt>
                <c:pt idx="45">
                  <c:v>9.5235546038543895</c:v>
                </c:pt>
                <c:pt idx="49">
                  <c:v>8.0972222222222214</c:v>
                </c:pt>
              </c:numCache>
            </c:numRef>
          </c:val>
        </c:ser>
        <c:ser>
          <c:idx val="1"/>
          <c:order val="1"/>
          <c:tx>
            <c:strRef>
              <c:f>'Site and Src EUI Not Used'!$AA$32</c:f>
              <c:strCache>
                <c:ptCount val="1"/>
                <c:pt idx="0">
                  <c:v>gas/propane</c:v>
                </c:pt>
              </c:strCache>
            </c:strRef>
          </c:tx>
          <c:spPr>
            <a:solidFill>
              <a:schemeClr val="accent1">
                <a:lumMod val="60000"/>
                <a:lumOff val="40000"/>
              </a:schemeClr>
            </a:solidFill>
            <a:ln w="12700">
              <a:solidFill>
                <a:prstClr val="black"/>
              </a:solidFill>
              <a:prstDash val="dash"/>
            </a:ln>
          </c:spPr>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val>
            <c:numRef>
              <c:f>'Site and Src EUI Not Used'!$AA$33:$AA$85</c:f>
              <c:numCache>
                <c:formatCode>General</c:formatCode>
                <c:ptCount val="53"/>
                <c:pt idx="1">
                  <c:v>6.3345568956476139</c:v>
                </c:pt>
                <c:pt idx="5">
                  <c:v>6.8998109640831755</c:v>
                </c:pt>
                <c:pt idx="9">
                  <c:v>0</c:v>
                </c:pt>
                <c:pt idx="13">
                  <c:v>2.7972027972027971</c:v>
                </c:pt>
                <c:pt idx="17">
                  <c:v>1.761744966442953</c:v>
                </c:pt>
                <c:pt idx="21">
                  <c:v>10.398970398970398</c:v>
                </c:pt>
                <c:pt idx="25">
                  <c:v>6.7145270270270272</c:v>
                </c:pt>
                <c:pt idx="29">
                  <c:v>7.7762619372442021</c:v>
                </c:pt>
                <c:pt idx="33">
                  <c:v>6.8100358422939067</c:v>
                </c:pt>
                <c:pt idx="37">
                  <c:v>9.4816687737041718</c:v>
                </c:pt>
                <c:pt idx="41">
                  <c:v>0</c:v>
                </c:pt>
                <c:pt idx="45">
                  <c:v>1.3650963597430408</c:v>
                </c:pt>
                <c:pt idx="49">
                  <c:v>7.3611111111111107</c:v>
                </c:pt>
              </c:numCache>
            </c:numRef>
          </c:val>
        </c:ser>
        <c:ser>
          <c:idx val="2"/>
          <c:order val="2"/>
          <c:tx>
            <c:strRef>
              <c:f>'Site and Src EUI Not Used'!$AB$32</c:f>
              <c:strCache>
                <c:ptCount val="1"/>
                <c:pt idx="0">
                  <c:v>other</c:v>
                </c:pt>
              </c:strCache>
            </c:strRef>
          </c:tx>
          <c:spPr>
            <a:solidFill>
              <a:schemeClr val="tx1">
                <a:lumMod val="50000"/>
                <a:lumOff val="50000"/>
              </a:schemeClr>
            </a:solidFill>
            <a:ln w="12700">
              <a:solidFill>
                <a:prstClr val="black"/>
              </a:solidFill>
              <a:prstDash val="dash"/>
            </a:ln>
          </c:spPr>
          <c:dPt>
            <c:idx val="45"/>
            <c:spPr>
              <a:solidFill>
                <a:schemeClr val="accent4">
                  <a:lumMod val="60000"/>
                  <a:lumOff val="40000"/>
                </a:schemeClr>
              </a:solidFill>
              <a:ln w="12700">
                <a:solidFill>
                  <a:prstClr val="black"/>
                </a:solidFill>
                <a:prstDash val="dash"/>
              </a:ln>
            </c:spPr>
          </c:dPt>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val>
            <c:numRef>
              <c:f>'Site and Src EUI Not Used'!$AB$33:$AB$85</c:f>
              <c:numCache>
                <c:formatCode>General</c:formatCode>
                <c:ptCount val="53"/>
                <c:pt idx="1">
                  <c:v>0</c:v>
                </c:pt>
                <c:pt idx="5">
                  <c:v>0</c:v>
                </c:pt>
                <c:pt idx="9">
                  <c:v>0</c:v>
                </c:pt>
                <c:pt idx="13">
                  <c:v>0</c:v>
                </c:pt>
                <c:pt idx="17">
                  <c:v>0</c:v>
                </c:pt>
                <c:pt idx="21">
                  <c:v>0</c:v>
                </c:pt>
                <c:pt idx="25">
                  <c:v>0</c:v>
                </c:pt>
                <c:pt idx="29">
                  <c:v>0</c:v>
                </c:pt>
                <c:pt idx="33">
                  <c:v>0</c:v>
                </c:pt>
                <c:pt idx="37">
                  <c:v>0</c:v>
                </c:pt>
                <c:pt idx="41">
                  <c:v>0</c:v>
                </c:pt>
                <c:pt idx="45">
                  <c:v>0.49785867237687365</c:v>
                </c:pt>
                <c:pt idx="49">
                  <c:v>0</c:v>
                </c:pt>
              </c:numCache>
            </c:numRef>
          </c:val>
        </c:ser>
        <c:ser>
          <c:idx val="3"/>
          <c:order val="3"/>
          <c:tx>
            <c:strRef>
              <c:f>'Site and Src EUI Not Used'!$AC$32</c:f>
              <c:strCache>
                <c:ptCount val="1"/>
                <c:pt idx="0">
                  <c:v>electricity</c:v>
                </c:pt>
              </c:strCache>
            </c:strRef>
          </c:tx>
          <c:spPr>
            <a:solidFill>
              <a:srgbClr val="FFFF00"/>
            </a:solidFill>
            <a:ln w="12700">
              <a:solidFill>
                <a:prstClr val="black"/>
              </a:solidFill>
            </a:ln>
          </c:spPr>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val>
            <c:numRef>
              <c:f>'Site and Src EUI Not Used'!$AC$33:$AC$85</c:f>
              <c:numCache>
                <c:formatCode>General</c:formatCode>
                <c:ptCount val="53"/>
                <c:pt idx="2">
                  <c:v>5.291033036182486</c:v>
                </c:pt>
                <c:pt idx="6">
                  <c:v>6.4587271581600501</c:v>
                </c:pt>
                <c:pt idx="10">
                  <c:v>15.05278485620677</c:v>
                </c:pt>
                <c:pt idx="14">
                  <c:v>12.314248251748252</c:v>
                </c:pt>
                <c:pt idx="18">
                  <c:v>14.385486577181208</c:v>
                </c:pt>
                <c:pt idx="22">
                  <c:v>8.55083655083655</c:v>
                </c:pt>
                <c:pt idx="26">
                  <c:v>14.315878378378379</c:v>
                </c:pt>
                <c:pt idx="30">
                  <c:v>17.062301045929967</c:v>
                </c:pt>
                <c:pt idx="34">
                  <c:v>18.15550041356493</c:v>
                </c:pt>
                <c:pt idx="38">
                  <c:v>16.176991150442479</c:v>
                </c:pt>
                <c:pt idx="42">
                  <c:v>26.93069306930693</c:v>
                </c:pt>
                <c:pt idx="46">
                  <c:v>31.798715203426124</c:v>
                </c:pt>
                <c:pt idx="50">
                  <c:v>27.034722222222221</c:v>
                </c:pt>
              </c:numCache>
            </c:numRef>
          </c:val>
        </c:ser>
        <c:ser>
          <c:idx val="4"/>
          <c:order val="4"/>
          <c:tx>
            <c:strRef>
              <c:f>'Site and Src EUI Not Used'!$AD$32</c:f>
              <c:strCache>
                <c:ptCount val="1"/>
                <c:pt idx="0">
                  <c:v>gas/propane</c:v>
                </c:pt>
              </c:strCache>
            </c:strRef>
          </c:tx>
          <c:spPr>
            <a:solidFill>
              <a:schemeClr val="accent1">
                <a:lumMod val="60000"/>
                <a:lumOff val="40000"/>
              </a:schemeClr>
            </a:solidFill>
            <a:ln w="12700">
              <a:solidFill>
                <a:prstClr val="black"/>
              </a:solidFill>
            </a:ln>
          </c:spPr>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val>
            <c:numRef>
              <c:f>'Site and Src EUI Not Used'!$AD$33:$AD$85</c:f>
              <c:numCache>
                <c:formatCode>General</c:formatCode>
                <c:ptCount val="53"/>
                <c:pt idx="2">
                  <c:v>6.3974829575249084</c:v>
                </c:pt>
                <c:pt idx="6">
                  <c:v>7.2243226212980467</c:v>
                </c:pt>
                <c:pt idx="10">
                  <c:v>0</c:v>
                </c:pt>
                <c:pt idx="14">
                  <c:v>2.9283216783216783</c:v>
                </c:pt>
                <c:pt idx="18">
                  <c:v>1.8435402684563758</c:v>
                </c:pt>
                <c:pt idx="22">
                  <c:v>10.888030888030888</c:v>
                </c:pt>
                <c:pt idx="26">
                  <c:v>7.03125</c:v>
                </c:pt>
                <c:pt idx="30">
                  <c:v>8.1400636653024101</c:v>
                </c:pt>
                <c:pt idx="34">
                  <c:v>7.1298593879239043</c:v>
                </c:pt>
                <c:pt idx="38">
                  <c:v>9.9266750948166873</c:v>
                </c:pt>
                <c:pt idx="42">
                  <c:v>0</c:v>
                </c:pt>
                <c:pt idx="46">
                  <c:v>1.3758029978586723</c:v>
                </c:pt>
                <c:pt idx="50">
                  <c:v>7.708333333333333</c:v>
                </c:pt>
              </c:numCache>
            </c:numRef>
          </c:val>
        </c:ser>
        <c:ser>
          <c:idx val="5"/>
          <c:order val="5"/>
          <c:tx>
            <c:strRef>
              <c:f>'Site and Src EUI Not Used'!$AE$32</c:f>
              <c:strCache>
                <c:ptCount val="1"/>
                <c:pt idx="0">
                  <c:v>other</c:v>
                </c:pt>
              </c:strCache>
            </c:strRef>
          </c:tx>
          <c:spPr>
            <a:solidFill>
              <a:schemeClr val="tx1">
                <a:lumMod val="50000"/>
                <a:lumOff val="50000"/>
              </a:schemeClr>
            </a:solidFill>
            <a:ln w="12700">
              <a:solidFill>
                <a:prstClr val="black"/>
              </a:solidFill>
            </a:ln>
          </c:spPr>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val>
            <c:numRef>
              <c:f>'Site and Src EUI Not Used'!$AE$33:$AE$85</c:f>
              <c:numCache>
                <c:formatCode>General</c:formatCode>
                <c:ptCount val="53"/>
                <c:pt idx="2">
                  <c:v>0</c:v>
                </c:pt>
                <c:pt idx="6">
                  <c:v>0</c:v>
                </c:pt>
                <c:pt idx="10">
                  <c:v>0</c:v>
                </c:pt>
                <c:pt idx="14">
                  <c:v>0</c:v>
                </c:pt>
                <c:pt idx="18">
                  <c:v>0</c:v>
                </c:pt>
                <c:pt idx="22">
                  <c:v>0</c:v>
                </c:pt>
                <c:pt idx="26">
                  <c:v>0</c:v>
                </c:pt>
                <c:pt idx="30">
                  <c:v>0</c:v>
                </c:pt>
                <c:pt idx="34">
                  <c:v>0</c:v>
                </c:pt>
                <c:pt idx="38">
                  <c:v>0</c:v>
                </c:pt>
                <c:pt idx="42">
                  <c:v>0</c:v>
                </c:pt>
                <c:pt idx="46">
                  <c:v>0.49785867237687365</c:v>
                </c:pt>
                <c:pt idx="50">
                  <c:v>0</c:v>
                </c:pt>
              </c:numCache>
            </c:numRef>
          </c:val>
        </c:ser>
        <c:ser>
          <c:idx val="6"/>
          <c:order val="6"/>
          <c:tx>
            <c:strRef>
              <c:f>'Site and Src EUI Not Used'!$AF$32</c:f>
              <c:strCache>
                <c:ptCount val="1"/>
                <c:pt idx="0">
                  <c:v> electricity</c:v>
                </c:pt>
              </c:strCache>
            </c:strRef>
          </c:tx>
          <c:spPr>
            <a:solidFill>
              <a:srgbClr val="FFFF00"/>
            </a:solidFill>
            <a:ln w="15875">
              <a:solidFill>
                <a:prstClr val="black"/>
              </a:solidFill>
              <a:prstDash val="sysDash"/>
            </a:ln>
          </c:spPr>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val>
            <c:numRef>
              <c:f>'Site and Src EUI Not Used'!$AF$33:$AF$85</c:f>
              <c:numCache>
                <c:formatCode>General</c:formatCode>
                <c:ptCount val="53"/>
                <c:pt idx="3">
                  <c:v>0</c:v>
                </c:pt>
                <c:pt idx="7">
                  <c:v>0</c:v>
                </c:pt>
                <c:pt idx="11">
                  <c:v>0</c:v>
                </c:pt>
                <c:pt idx="15">
                  <c:v>0</c:v>
                </c:pt>
                <c:pt idx="19">
                  <c:v>0</c:v>
                </c:pt>
                <c:pt idx="23">
                  <c:v>0</c:v>
                </c:pt>
                <c:pt idx="27">
                  <c:v>0</c:v>
                </c:pt>
                <c:pt idx="31">
                  <c:v>0</c:v>
                </c:pt>
                <c:pt idx="35">
                  <c:v>0</c:v>
                </c:pt>
                <c:pt idx="39">
                  <c:v>0</c:v>
                </c:pt>
                <c:pt idx="43">
                  <c:v>0</c:v>
                </c:pt>
                <c:pt idx="47">
                  <c:v>0</c:v>
                </c:pt>
                <c:pt idx="51">
                  <c:v>0</c:v>
                </c:pt>
              </c:numCache>
            </c:numRef>
          </c:val>
        </c:ser>
        <c:ser>
          <c:idx val="9"/>
          <c:order val="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0"/>
          <c:order val="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1"/>
          <c:order val="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2"/>
          <c:order val="1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3"/>
          <c:order val="1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4"/>
          <c:order val="1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5"/>
          <c:order val="1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6"/>
          <c:order val="1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7"/>
          <c:order val="1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8"/>
          <c:order val="1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9"/>
          <c:order val="1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0"/>
          <c:order val="1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1"/>
          <c:order val="1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2"/>
          <c:order val="2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3"/>
          <c:order val="2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4"/>
          <c:order val="2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5"/>
          <c:order val="2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6"/>
          <c:order val="2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7"/>
          <c:order val="2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8"/>
          <c:order val="2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9"/>
          <c:order val="2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30"/>
          <c:order val="2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31"/>
          <c:order val="2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32"/>
          <c:order val="3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33"/>
          <c:order val="3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34"/>
          <c:order val="3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35"/>
          <c:order val="3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36"/>
          <c:order val="3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37"/>
          <c:order val="3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38"/>
          <c:order val="3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39"/>
          <c:order val="3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40"/>
          <c:order val="3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41"/>
          <c:order val="3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42"/>
          <c:order val="4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43"/>
          <c:order val="4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44"/>
          <c:order val="4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45"/>
          <c:order val="4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46"/>
          <c:order val="4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47"/>
          <c:order val="4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48"/>
          <c:order val="4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49"/>
          <c:order val="4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50"/>
          <c:order val="4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51"/>
          <c:order val="4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52"/>
          <c:order val="5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53"/>
          <c:order val="5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54"/>
          <c:order val="5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55"/>
          <c:order val="5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56"/>
          <c:order val="5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57"/>
          <c:order val="5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58"/>
          <c:order val="5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59"/>
          <c:order val="5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60"/>
          <c:order val="5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61"/>
          <c:order val="5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62"/>
          <c:order val="6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63"/>
          <c:order val="6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64"/>
          <c:order val="6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65"/>
          <c:order val="6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66"/>
          <c:order val="6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67"/>
          <c:order val="6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68"/>
          <c:order val="6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69"/>
          <c:order val="6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70"/>
          <c:order val="6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71"/>
          <c:order val="6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72"/>
          <c:order val="7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73"/>
          <c:order val="7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74"/>
          <c:order val="7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75"/>
          <c:order val="7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76"/>
          <c:order val="7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77"/>
          <c:order val="7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78"/>
          <c:order val="7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79"/>
          <c:order val="7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80"/>
          <c:order val="7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81"/>
          <c:order val="7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82"/>
          <c:order val="8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83"/>
          <c:order val="8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84"/>
          <c:order val="8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85"/>
          <c:order val="8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86"/>
          <c:order val="8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87"/>
          <c:order val="8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88"/>
          <c:order val="8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89"/>
          <c:order val="8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90"/>
          <c:order val="8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91"/>
          <c:order val="8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92"/>
          <c:order val="9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93"/>
          <c:order val="9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94"/>
          <c:order val="9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95"/>
          <c:order val="9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96"/>
          <c:order val="9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97"/>
          <c:order val="9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98"/>
          <c:order val="9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99"/>
          <c:order val="9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00"/>
          <c:order val="9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01"/>
          <c:order val="9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02"/>
          <c:order val="10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03"/>
          <c:order val="10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04"/>
          <c:order val="10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05"/>
          <c:order val="10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06"/>
          <c:order val="10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07"/>
          <c:order val="10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08"/>
          <c:order val="10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09"/>
          <c:order val="10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10"/>
          <c:order val="10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11"/>
          <c:order val="10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12"/>
          <c:order val="11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13"/>
          <c:order val="11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14"/>
          <c:order val="11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15"/>
          <c:order val="11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16"/>
          <c:order val="11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17"/>
          <c:order val="11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18"/>
          <c:order val="11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19"/>
          <c:order val="11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20"/>
          <c:order val="11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21"/>
          <c:order val="11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22"/>
          <c:order val="12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23"/>
          <c:order val="12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24"/>
          <c:order val="12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25"/>
          <c:order val="12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26"/>
          <c:order val="12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27"/>
          <c:order val="12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28"/>
          <c:order val="12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29"/>
          <c:order val="12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30"/>
          <c:order val="12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31"/>
          <c:order val="12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32"/>
          <c:order val="13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33"/>
          <c:order val="13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34"/>
          <c:order val="13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35"/>
          <c:order val="13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36"/>
          <c:order val="13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37"/>
          <c:order val="13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38"/>
          <c:order val="13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39"/>
          <c:order val="13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40"/>
          <c:order val="13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41"/>
          <c:order val="13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42"/>
          <c:order val="14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43"/>
          <c:order val="14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44"/>
          <c:order val="14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45"/>
          <c:order val="14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46"/>
          <c:order val="14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47"/>
          <c:order val="14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48"/>
          <c:order val="14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49"/>
          <c:order val="14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50"/>
          <c:order val="14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51"/>
          <c:order val="14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52"/>
          <c:order val="15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53"/>
          <c:order val="15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54"/>
          <c:order val="15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55"/>
          <c:order val="15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56"/>
          <c:order val="15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57"/>
          <c:order val="15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58"/>
          <c:order val="15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59"/>
          <c:order val="15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60"/>
          <c:order val="15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61"/>
          <c:order val="15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62"/>
          <c:order val="16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63"/>
          <c:order val="16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64"/>
          <c:order val="16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65"/>
          <c:order val="16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66"/>
          <c:order val="16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67"/>
          <c:order val="16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68"/>
          <c:order val="16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69"/>
          <c:order val="16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70"/>
          <c:order val="16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71"/>
          <c:order val="16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72"/>
          <c:order val="17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73"/>
          <c:order val="17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74"/>
          <c:order val="17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75"/>
          <c:order val="17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76"/>
          <c:order val="17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77"/>
          <c:order val="17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78"/>
          <c:order val="17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79"/>
          <c:order val="17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80"/>
          <c:order val="17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81"/>
          <c:order val="17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82"/>
          <c:order val="18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83"/>
          <c:order val="18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84"/>
          <c:order val="18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85"/>
          <c:order val="18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86"/>
          <c:order val="18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87"/>
          <c:order val="18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88"/>
          <c:order val="18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89"/>
          <c:order val="18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90"/>
          <c:order val="18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91"/>
          <c:order val="18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92"/>
          <c:order val="19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93"/>
          <c:order val="19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94"/>
          <c:order val="19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95"/>
          <c:order val="19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96"/>
          <c:order val="19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97"/>
          <c:order val="19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98"/>
          <c:order val="19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199"/>
          <c:order val="19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00"/>
          <c:order val="19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01"/>
          <c:order val="19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02"/>
          <c:order val="20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03"/>
          <c:order val="20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04"/>
          <c:order val="20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05"/>
          <c:order val="20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06"/>
          <c:order val="20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07"/>
          <c:order val="20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08"/>
          <c:order val="20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09"/>
          <c:order val="20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10"/>
          <c:order val="20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11"/>
          <c:order val="20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12"/>
          <c:order val="21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13"/>
          <c:order val="21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14"/>
          <c:order val="21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15"/>
          <c:order val="21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16"/>
          <c:order val="21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17"/>
          <c:order val="21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18"/>
          <c:order val="21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19"/>
          <c:order val="21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20"/>
          <c:order val="21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21"/>
          <c:order val="21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22"/>
          <c:order val="22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23"/>
          <c:order val="22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24"/>
          <c:order val="22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25"/>
          <c:order val="22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26"/>
          <c:order val="22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27"/>
          <c:order val="22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28"/>
          <c:order val="22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29"/>
          <c:order val="22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30"/>
          <c:order val="22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31"/>
          <c:order val="22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32"/>
          <c:order val="23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33"/>
          <c:order val="23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34"/>
          <c:order val="23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35"/>
          <c:order val="23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36"/>
          <c:order val="23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37"/>
          <c:order val="23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38"/>
          <c:order val="23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39"/>
          <c:order val="23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40"/>
          <c:order val="23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41"/>
          <c:order val="23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42"/>
          <c:order val="24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43"/>
          <c:order val="24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44"/>
          <c:order val="24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45"/>
          <c:order val="243"/>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46"/>
          <c:order val="244"/>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47"/>
          <c:order val="245"/>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48"/>
          <c:order val="246"/>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49"/>
          <c:order val="247"/>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50"/>
          <c:order val="248"/>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51"/>
          <c:order val="249"/>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52"/>
          <c:order val="250"/>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53"/>
          <c:order val="251"/>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ser>
          <c:idx val="254"/>
          <c:order val="252"/>
          <c:cat>
            <c:strRef>
              <c:f>'Site and Src EUI Not Used'!$Y$33:$Y$86</c:f>
              <c:strCache>
                <c:ptCount val="50"/>
                <c:pt idx="1">
                  <c:v>Belchertown</c:v>
                </c:pt>
                <c:pt idx="5">
                  <c:v>Brookline</c:v>
                </c:pt>
                <c:pt idx="9">
                  <c:v>Northampton</c:v>
                </c:pt>
                <c:pt idx="13">
                  <c:v>Quincy</c:v>
                </c:pt>
                <c:pt idx="17">
                  <c:v>Belmont</c:v>
                </c:pt>
                <c:pt idx="21">
                  <c:v>Jamaica Plain</c:v>
                </c:pt>
                <c:pt idx="25">
                  <c:v>Milton</c:v>
                </c:pt>
                <c:pt idx="29">
                  <c:v>Newton</c:v>
                </c:pt>
                <c:pt idx="33">
                  <c:v>Arlington</c:v>
                </c:pt>
                <c:pt idx="37">
                  <c:v>Westford</c:v>
                </c:pt>
                <c:pt idx="41">
                  <c:v>Gloucester</c:v>
                </c:pt>
                <c:pt idx="45">
                  <c:v>Millbury</c:v>
                </c:pt>
                <c:pt idx="49">
                  <c:v>Lancaster</c:v>
                </c:pt>
              </c:strCache>
            </c:strRef>
          </c:cat>
        </c:ser>
        <c:gapWidth val="0"/>
        <c:overlap val="100"/>
        <c:axId val="112584576"/>
        <c:axId val="112586112"/>
      </c:barChart>
      <c:catAx>
        <c:axId val="112584576"/>
        <c:scaling>
          <c:orientation val="minMax"/>
        </c:scaling>
        <c:axPos val="b"/>
        <c:tickLblPos val="nextTo"/>
        <c:crossAx val="112586112"/>
        <c:crosses val="autoZero"/>
        <c:auto val="1"/>
        <c:lblAlgn val="ctr"/>
        <c:lblOffset val="100"/>
      </c:catAx>
      <c:valAx>
        <c:axId val="112586112"/>
        <c:scaling>
          <c:orientation val="minMax"/>
          <c:max val="35"/>
        </c:scaling>
        <c:axPos val="l"/>
        <c:majorGridlines/>
        <c:numFmt formatCode="General" sourceLinked="1"/>
        <c:tickLblPos val="nextTo"/>
        <c:crossAx val="112584576"/>
        <c:crosses val="autoZero"/>
        <c:crossBetween val="between"/>
      </c:valAx>
    </c:plotArea>
    <c:plotVisOnly val="1"/>
  </c:chart>
  <c:printSettings>
    <c:headerFooter/>
    <c:pageMargins b="0.75000000000000211" l="0.70000000000000062" r="0.70000000000000062" t="0.750000000000002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16</xdr:col>
      <xdr:colOff>597354</xdr:colOff>
      <xdr:row>23</xdr:row>
      <xdr:rowOff>106133</xdr:rowOff>
    </xdr:from>
    <xdr:to>
      <xdr:col>26</xdr:col>
      <xdr:colOff>312966</xdr:colOff>
      <xdr:row>47</xdr:row>
      <xdr:rowOff>180975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0.00163</cdr:x>
      <cdr:y>0</cdr:y>
    </cdr:from>
    <cdr:to>
      <cdr:x>0.08809</cdr:x>
      <cdr:y>0.69309</cdr:y>
    </cdr:to>
    <cdr:sp macro="" textlink="">
      <cdr:nvSpPr>
        <cdr:cNvPr id="2" name="TextBox 1"/>
        <cdr:cNvSpPr txBox="1"/>
      </cdr:nvSpPr>
      <cdr:spPr>
        <a:xfrm xmlns:a="http://schemas.openxmlformats.org/drawingml/2006/main" rot="16200000">
          <a:off x="-820389" y="829919"/>
          <a:ext cx="2165350" cy="5055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aseline="0"/>
            <a:t>site and source 6 months kBtu/sf</a:t>
          </a:r>
          <a:endParaRPr lang="en-US" sz="1000"/>
        </a:p>
      </cdr:txBody>
    </cdr:sp>
  </cdr:relSizeAnchor>
</c:userShapes>
</file>

<file path=xl/drawings/drawing11.xml><?xml version="1.0" encoding="utf-8"?>
<c:userShapes xmlns:c="http://schemas.openxmlformats.org/drawingml/2006/chart">
  <cdr:relSizeAnchor xmlns:cdr="http://schemas.openxmlformats.org/drawingml/2006/chartDrawing">
    <cdr:from>
      <cdr:x>0.02745</cdr:x>
      <cdr:y>0</cdr:y>
    </cdr:from>
    <cdr:to>
      <cdr:x>0.09216</cdr:x>
      <cdr:y>0.65278</cdr:y>
    </cdr:to>
    <cdr:sp macro="" textlink="">
      <cdr:nvSpPr>
        <cdr:cNvPr id="2" name="TextBox 1"/>
        <cdr:cNvSpPr txBox="1"/>
      </cdr:nvSpPr>
      <cdr:spPr>
        <a:xfrm xmlns:a="http://schemas.openxmlformats.org/drawingml/2006/main" rot="16200000">
          <a:off x="-604835" y="738187"/>
          <a:ext cx="1790699"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6 mo source</a:t>
          </a:r>
          <a:r>
            <a:rPr lang="en-US" sz="1000" baseline="0"/>
            <a:t> kBtu/sf </a:t>
          </a:r>
          <a:endParaRPr lang="en-US" sz="1000"/>
        </a:p>
      </cdr:txBody>
    </cdr:sp>
  </cdr:relSizeAnchor>
  <cdr:relSizeAnchor xmlns:cdr="http://schemas.openxmlformats.org/drawingml/2006/chartDrawing">
    <cdr:from>
      <cdr:x>0.34314</cdr:x>
      <cdr:y>0.75694</cdr:y>
    </cdr:from>
    <cdr:to>
      <cdr:x>0.69804</cdr:x>
      <cdr:y>0.82639</cdr:y>
    </cdr:to>
    <cdr:sp macro="" textlink="">
      <cdr:nvSpPr>
        <cdr:cNvPr id="3" name="TextBox 2"/>
        <cdr:cNvSpPr txBox="1"/>
      </cdr:nvSpPr>
      <cdr:spPr>
        <a:xfrm xmlns:a="http://schemas.openxmlformats.org/drawingml/2006/main">
          <a:off x="1666875" y="2076450"/>
          <a:ext cx="172402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6 month source-site</a:t>
          </a:r>
          <a:r>
            <a:rPr lang="en-US" sz="1000" baseline="0"/>
            <a:t> ratio</a:t>
          </a:r>
          <a:endParaRPr lang="en-US" sz="1000"/>
        </a:p>
      </cdr:txBody>
    </cdr:sp>
  </cdr:relSizeAnchor>
  <cdr:relSizeAnchor xmlns:cdr="http://schemas.openxmlformats.org/drawingml/2006/chartDrawing">
    <cdr:from>
      <cdr:x>0.59412</cdr:x>
      <cdr:y>0.48611</cdr:y>
    </cdr:from>
    <cdr:to>
      <cdr:x>0.74902</cdr:x>
      <cdr:y>0.56597</cdr:y>
    </cdr:to>
    <cdr:sp macro="" textlink="">
      <cdr:nvSpPr>
        <cdr:cNvPr id="6" name="TextBox 5"/>
        <cdr:cNvSpPr txBox="1"/>
      </cdr:nvSpPr>
      <cdr:spPr>
        <a:xfrm xmlns:a="http://schemas.openxmlformats.org/drawingml/2006/main">
          <a:off x="2886075" y="1333500"/>
          <a:ext cx="752475"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Belmont</a:t>
          </a:r>
        </a:p>
      </cdr:txBody>
    </cdr:sp>
  </cdr:relSizeAnchor>
  <cdr:relSizeAnchor xmlns:cdr="http://schemas.openxmlformats.org/drawingml/2006/chartDrawing">
    <cdr:from>
      <cdr:x>0.76471</cdr:x>
      <cdr:y>0.51389</cdr:y>
    </cdr:from>
    <cdr:to>
      <cdr:x>0.98019</cdr:x>
      <cdr:y>0.59375</cdr:y>
    </cdr:to>
    <cdr:sp macro="" textlink="">
      <cdr:nvSpPr>
        <cdr:cNvPr id="7" name="TextBox 6"/>
        <cdr:cNvSpPr txBox="1"/>
      </cdr:nvSpPr>
      <cdr:spPr>
        <a:xfrm xmlns:a="http://schemas.openxmlformats.org/drawingml/2006/main">
          <a:off x="3414917" y="1500373"/>
          <a:ext cx="962271" cy="2331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Northampton</a:t>
          </a:r>
        </a:p>
      </cdr:txBody>
    </cdr:sp>
  </cdr:relSizeAnchor>
  <cdr:relSizeAnchor xmlns:cdr="http://schemas.openxmlformats.org/drawingml/2006/chartDrawing">
    <cdr:from>
      <cdr:x>0.4902</cdr:x>
      <cdr:y>0.51042</cdr:y>
    </cdr:from>
    <cdr:to>
      <cdr:x>0.61176</cdr:x>
      <cdr:y>0.61458</cdr:y>
    </cdr:to>
    <cdr:sp macro="" textlink="">
      <cdr:nvSpPr>
        <cdr:cNvPr id="8" name="TextBox 7"/>
        <cdr:cNvSpPr txBox="1"/>
      </cdr:nvSpPr>
      <cdr:spPr>
        <a:xfrm xmlns:a="http://schemas.openxmlformats.org/drawingml/2006/main">
          <a:off x="2381269" y="1400175"/>
          <a:ext cx="590508" cy="2857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Quincy</a:t>
          </a:r>
        </a:p>
      </cdr:txBody>
    </cdr:sp>
  </cdr:relSizeAnchor>
  <cdr:relSizeAnchor xmlns:cdr="http://schemas.openxmlformats.org/drawingml/2006/chartDrawing">
    <cdr:from>
      <cdr:x>0.79608</cdr:x>
      <cdr:y>0.23553</cdr:y>
    </cdr:from>
    <cdr:to>
      <cdr:x>0.97867</cdr:x>
      <cdr:y>0.33681</cdr:y>
    </cdr:to>
    <cdr:sp macro="" textlink="">
      <cdr:nvSpPr>
        <cdr:cNvPr id="10" name="TextBox 9"/>
        <cdr:cNvSpPr txBox="1"/>
      </cdr:nvSpPr>
      <cdr:spPr>
        <a:xfrm xmlns:a="http://schemas.openxmlformats.org/drawingml/2006/main">
          <a:off x="3555003" y="687662"/>
          <a:ext cx="815381" cy="2957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Gloucester</a:t>
          </a:r>
        </a:p>
      </cdr:txBody>
    </cdr:sp>
  </cdr:relSizeAnchor>
  <cdr:relSizeAnchor xmlns:cdr="http://schemas.openxmlformats.org/drawingml/2006/chartDrawing">
    <cdr:from>
      <cdr:x>0.46606</cdr:x>
      <cdr:y>0.17187</cdr:y>
    </cdr:from>
    <cdr:to>
      <cdr:x>0.63892</cdr:x>
      <cdr:y>0.26157</cdr:y>
    </cdr:to>
    <cdr:sp macro="" textlink="">
      <cdr:nvSpPr>
        <cdr:cNvPr id="11" name="TextBox 10"/>
        <cdr:cNvSpPr txBox="1"/>
      </cdr:nvSpPr>
      <cdr:spPr>
        <a:xfrm xmlns:a="http://schemas.openxmlformats.org/drawingml/2006/main">
          <a:off x="2081254" y="501798"/>
          <a:ext cx="771934" cy="26189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Lancaster</a:t>
          </a:r>
        </a:p>
      </cdr:txBody>
    </cdr:sp>
  </cdr:relSizeAnchor>
  <cdr:relSizeAnchor xmlns:cdr="http://schemas.openxmlformats.org/drawingml/2006/chartDrawing">
    <cdr:from>
      <cdr:x>0.68309</cdr:x>
      <cdr:y>0.17187</cdr:y>
    </cdr:from>
    <cdr:to>
      <cdr:x>0.82833</cdr:x>
      <cdr:y>0.29051</cdr:y>
    </cdr:to>
    <cdr:sp macro="" textlink="">
      <cdr:nvSpPr>
        <cdr:cNvPr id="12" name="TextBox 11"/>
        <cdr:cNvSpPr txBox="1"/>
      </cdr:nvSpPr>
      <cdr:spPr>
        <a:xfrm xmlns:a="http://schemas.openxmlformats.org/drawingml/2006/main">
          <a:off x="3322637" y="471487"/>
          <a:ext cx="706438" cy="3254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Millbury</a:t>
          </a:r>
        </a:p>
      </cdr:txBody>
    </cdr:sp>
  </cdr:relSizeAnchor>
  <cdr:relSizeAnchor xmlns:cdr="http://schemas.openxmlformats.org/drawingml/2006/chartDrawing">
    <cdr:from>
      <cdr:x>0.84791</cdr:x>
      <cdr:y>0.68403</cdr:y>
    </cdr:from>
    <cdr:to>
      <cdr:x>0.84791</cdr:x>
      <cdr:y>0.72454</cdr:y>
    </cdr:to>
    <cdr:sp macro="" textlink="">
      <cdr:nvSpPr>
        <cdr:cNvPr id="14" name="Straight Connector 13"/>
        <cdr:cNvSpPr/>
      </cdr:nvSpPr>
      <cdr:spPr>
        <a:xfrm xmlns:a="http://schemas.openxmlformats.org/drawingml/2006/main" flipH="1">
          <a:off x="4124322" y="1876423"/>
          <a:ext cx="4" cy="111125"/>
        </a:xfrm>
        <a:prstGeom xmlns:a="http://schemas.openxmlformats.org/drawingml/2006/main" prst="line">
          <a:avLst/>
        </a:prstGeom>
        <a:ln xmlns:a="http://schemas.openxmlformats.org/drawingml/2006/main">
          <a:solidFill>
            <a:srgbClr val="FF0000"/>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0.80385</cdr:x>
      <cdr:y>0.71296</cdr:y>
    </cdr:from>
    <cdr:to>
      <cdr:x>0.89197</cdr:x>
      <cdr:y>0.80845</cdr:y>
    </cdr:to>
    <cdr:sp macro="" textlink="">
      <cdr:nvSpPr>
        <cdr:cNvPr id="15" name="TextBox 14"/>
        <cdr:cNvSpPr txBox="1"/>
      </cdr:nvSpPr>
      <cdr:spPr>
        <a:xfrm xmlns:a="http://schemas.openxmlformats.org/drawingml/2006/main">
          <a:off x="3910013" y="1955800"/>
          <a:ext cx="428624" cy="2619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solidFill>
                <a:srgbClr val="FF0000"/>
              </a:solidFill>
            </a:rPr>
            <a:t>3.34</a:t>
          </a:r>
        </a:p>
      </cdr:txBody>
    </cdr:sp>
  </cdr:relSizeAnchor>
</c:userShapes>
</file>

<file path=xl/drawings/drawing12.xml><?xml version="1.0" encoding="utf-8"?>
<c:userShapes xmlns:c="http://schemas.openxmlformats.org/drawingml/2006/chart">
  <cdr:relSizeAnchor xmlns:cdr="http://schemas.openxmlformats.org/drawingml/2006/chartDrawing">
    <cdr:from>
      <cdr:x>0.01038</cdr:x>
      <cdr:y>0.02154</cdr:y>
    </cdr:from>
    <cdr:to>
      <cdr:x>0.0496</cdr:x>
      <cdr:y>0.51344</cdr:y>
    </cdr:to>
    <cdr:sp macro="" textlink="">
      <cdr:nvSpPr>
        <cdr:cNvPr id="2" name="TextBox 1"/>
        <cdr:cNvSpPr txBox="1"/>
      </cdr:nvSpPr>
      <cdr:spPr>
        <a:xfrm xmlns:a="http://schemas.openxmlformats.org/drawingml/2006/main" rot="16200000">
          <a:off x="-1099491" y="1274754"/>
          <a:ext cx="2563175" cy="2381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site</a:t>
          </a:r>
          <a:r>
            <a:rPr lang="en-US" sz="1050" baseline="0"/>
            <a:t> and source 6 months </a:t>
          </a:r>
          <a:r>
            <a:rPr lang="en-US" sz="1050"/>
            <a:t>kBtu/sf</a:t>
          </a:r>
        </a:p>
      </cdr:txBody>
    </cdr:sp>
  </cdr:relSizeAnchor>
  <cdr:relSizeAnchor xmlns:cdr="http://schemas.openxmlformats.org/drawingml/2006/chartDrawing">
    <cdr:from>
      <cdr:x>0.02653</cdr:x>
      <cdr:y>0.85081</cdr:y>
    </cdr:from>
    <cdr:to>
      <cdr:x>0.2203</cdr:x>
      <cdr:y>0.9086</cdr:y>
    </cdr:to>
    <cdr:sp macro="" textlink="">
      <cdr:nvSpPr>
        <cdr:cNvPr id="3" name="TextBox 2"/>
        <cdr:cNvSpPr txBox="1"/>
      </cdr:nvSpPr>
      <cdr:spPr>
        <a:xfrm xmlns:a="http://schemas.openxmlformats.org/drawingml/2006/main">
          <a:off x="161085" y="4433326"/>
          <a:ext cx="1176618" cy="3011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site energy</a:t>
          </a:r>
          <a:r>
            <a:rPr lang="en-US" sz="1050" baseline="0"/>
            <a:t> use</a:t>
          </a:r>
        </a:p>
      </cdr:txBody>
    </cdr:sp>
  </cdr:relSizeAnchor>
  <cdr:relSizeAnchor xmlns:cdr="http://schemas.openxmlformats.org/drawingml/2006/chartDrawing">
    <cdr:from>
      <cdr:x>0.29988</cdr:x>
      <cdr:y>0.84946</cdr:y>
    </cdr:from>
    <cdr:to>
      <cdr:x>0.54556</cdr:x>
      <cdr:y>0.91532</cdr:y>
    </cdr:to>
    <cdr:sp macro="" textlink="">
      <cdr:nvSpPr>
        <cdr:cNvPr id="5" name="TextBox 4"/>
        <cdr:cNvSpPr txBox="1"/>
      </cdr:nvSpPr>
      <cdr:spPr>
        <a:xfrm xmlns:a="http://schemas.openxmlformats.org/drawingml/2006/main">
          <a:off x="1820954" y="4426322"/>
          <a:ext cx="1491783" cy="3431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source energy use</a:t>
          </a:r>
        </a:p>
      </cdr:txBody>
    </cdr:sp>
  </cdr:relSizeAnchor>
  <cdr:relSizeAnchor xmlns:cdr="http://schemas.openxmlformats.org/drawingml/2006/chartDrawing">
    <cdr:from>
      <cdr:x>0.61015</cdr:x>
      <cdr:y>0.84543</cdr:y>
    </cdr:from>
    <cdr:to>
      <cdr:x>0.8766</cdr:x>
      <cdr:y>0.97288</cdr:y>
    </cdr:to>
    <cdr:sp macro="" textlink="">
      <cdr:nvSpPr>
        <cdr:cNvPr id="6" name="TextBox 5"/>
        <cdr:cNvSpPr txBox="1"/>
      </cdr:nvSpPr>
      <cdr:spPr>
        <a:xfrm xmlns:a="http://schemas.openxmlformats.org/drawingml/2006/main">
          <a:off x="3707386" y="4485839"/>
          <a:ext cx="1619009" cy="676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source energy use adjusted</a:t>
          </a:r>
          <a:r>
            <a:rPr lang="en-US" sz="1050" baseline="0"/>
            <a:t> to reflect on-site generation</a:t>
          </a:r>
          <a:endParaRPr lang="en-US" sz="1050"/>
        </a:p>
      </cdr:txBody>
    </cdr:sp>
  </cdr:relSizeAnchor>
  <cdr:relSizeAnchor xmlns:cdr="http://schemas.openxmlformats.org/drawingml/2006/chartDrawing">
    <cdr:from>
      <cdr:x>0.22127</cdr:x>
      <cdr:y>0.94158</cdr:y>
    </cdr:from>
    <cdr:to>
      <cdr:x>0.23511</cdr:x>
      <cdr:y>0.95754</cdr:y>
    </cdr:to>
    <cdr:sp macro="" textlink="">
      <cdr:nvSpPr>
        <cdr:cNvPr id="7" name="Rectangle 6"/>
        <cdr:cNvSpPr/>
      </cdr:nvSpPr>
      <cdr:spPr>
        <a:xfrm xmlns:a="http://schemas.openxmlformats.org/drawingml/2006/main">
          <a:off x="1344473" y="4996032"/>
          <a:ext cx="84099" cy="84670"/>
        </a:xfrm>
        <a:prstGeom xmlns:a="http://schemas.openxmlformats.org/drawingml/2006/main" prst="rect">
          <a:avLst/>
        </a:prstGeom>
        <a:solidFill xmlns:a="http://schemas.openxmlformats.org/drawingml/2006/main">
          <a:schemeClr val="accent1">
            <a:lumMod val="60000"/>
            <a:lumOff val="40000"/>
          </a:schemeClr>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0.07354</cdr:x>
      <cdr:y>0.94236</cdr:y>
    </cdr:from>
    <cdr:to>
      <cdr:x>0.08738</cdr:x>
      <cdr:y>0.95831</cdr:y>
    </cdr:to>
    <cdr:sp macro="" textlink="">
      <cdr:nvSpPr>
        <cdr:cNvPr id="9" name="Rectangle 8"/>
        <cdr:cNvSpPr/>
      </cdr:nvSpPr>
      <cdr:spPr>
        <a:xfrm xmlns:a="http://schemas.openxmlformats.org/drawingml/2006/main">
          <a:off x="446848" y="5000133"/>
          <a:ext cx="84100" cy="84670"/>
        </a:xfrm>
        <a:prstGeom xmlns:a="http://schemas.openxmlformats.org/drawingml/2006/main" prst="rect">
          <a:avLst/>
        </a:prstGeom>
        <a:solidFill xmlns:a="http://schemas.openxmlformats.org/drawingml/2006/main">
          <a:srgbClr val="FFFF00"/>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0.39772</cdr:x>
      <cdr:y>0.9425</cdr:y>
    </cdr:from>
    <cdr:to>
      <cdr:x>0.41157</cdr:x>
      <cdr:y>0.95846</cdr:y>
    </cdr:to>
    <cdr:sp macro="" textlink="">
      <cdr:nvSpPr>
        <cdr:cNvPr id="10" name="Rectangle 9"/>
        <cdr:cNvSpPr/>
      </cdr:nvSpPr>
      <cdr:spPr>
        <a:xfrm xmlns:a="http://schemas.openxmlformats.org/drawingml/2006/main">
          <a:off x="2416648" y="5000891"/>
          <a:ext cx="84100" cy="84670"/>
        </a:xfrm>
        <a:prstGeom xmlns:a="http://schemas.openxmlformats.org/drawingml/2006/main" prst="rect">
          <a:avLst/>
        </a:prstGeom>
        <a:solidFill xmlns:a="http://schemas.openxmlformats.org/drawingml/2006/main">
          <a:schemeClr val="accent4">
            <a:lumMod val="60000"/>
            <a:lumOff val="40000"/>
          </a:schemeClr>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0.08721</cdr:x>
      <cdr:y>0.92416</cdr:y>
    </cdr:from>
    <cdr:to>
      <cdr:x>0.22941</cdr:x>
      <cdr:y>0.96904</cdr:y>
    </cdr:to>
    <cdr:sp macro="" textlink="">
      <cdr:nvSpPr>
        <cdr:cNvPr id="13" name="TextBox 12"/>
        <cdr:cNvSpPr txBox="1"/>
      </cdr:nvSpPr>
      <cdr:spPr>
        <a:xfrm xmlns:a="http://schemas.openxmlformats.org/drawingml/2006/main">
          <a:off x="529877" y="4903574"/>
          <a:ext cx="864054" cy="238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electricity</a:t>
          </a:r>
        </a:p>
      </cdr:txBody>
    </cdr:sp>
  </cdr:relSizeAnchor>
  <cdr:relSizeAnchor xmlns:cdr="http://schemas.openxmlformats.org/drawingml/2006/chartDrawing">
    <cdr:from>
      <cdr:x>0.23501</cdr:x>
      <cdr:y>0.92288</cdr:y>
    </cdr:from>
    <cdr:to>
      <cdr:x>0.41192</cdr:x>
      <cdr:y>0.98058</cdr:y>
    </cdr:to>
    <cdr:sp macro="" textlink="">
      <cdr:nvSpPr>
        <cdr:cNvPr id="14" name="TextBox 13"/>
        <cdr:cNvSpPr txBox="1"/>
      </cdr:nvSpPr>
      <cdr:spPr>
        <a:xfrm xmlns:a="http://schemas.openxmlformats.org/drawingml/2006/main">
          <a:off x="1427950" y="4896770"/>
          <a:ext cx="1074964" cy="306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gas/propane</a:t>
          </a:r>
        </a:p>
      </cdr:txBody>
    </cdr:sp>
  </cdr:relSizeAnchor>
  <cdr:relSizeAnchor xmlns:cdr="http://schemas.openxmlformats.org/drawingml/2006/chartDrawing">
    <cdr:from>
      <cdr:x>0.41304</cdr:x>
      <cdr:y>0.92672</cdr:y>
    </cdr:from>
    <cdr:to>
      <cdr:x>0.56756</cdr:x>
      <cdr:y>0.97673</cdr:y>
    </cdr:to>
    <cdr:sp macro="" textlink="">
      <cdr:nvSpPr>
        <cdr:cNvPr id="15" name="TextBox 14"/>
        <cdr:cNvSpPr txBox="1"/>
      </cdr:nvSpPr>
      <cdr:spPr>
        <a:xfrm xmlns:a="http://schemas.openxmlformats.org/drawingml/2006/main">
          <a:off x="2509716" y="4917181"/>
          <a:ext cx="938893" cy="2653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other</a:t>
          </a:r>
        </a:p>
      </cdr:txBody>
    </cdr:sp>
  </cdr:relSizeAnchor>
  <cdr:relSizeAnchor xmlns:cdr="http://schemas.openxmlformats.org/drawingml/2006/chartDrawing">
    <cdr:from>
      <cdr:x>0.86478</cdr:x>
      <cdr:y>0.87159</cdr:y>
    </cdr:from>
    <cdr:to>
      <cdr:x>0.98571</cdr:x>
      <cdr:y>0.87287</cdr:y>
    </cdr:to>
    <cdr:sp macro="" textlink="">
      <cdr:nvSpPr>
        <cdr:cNvPr id="17" name="Straight Connector 16"/>
        <cdr:cNvSpPr/>
      </cdr:nvSpPr>
      <cdr:spPr>
        <a:xfrm xmlns:a="http://schemas.openxmlformats.org/drawingml/2006/main">
          <a:off x="5624741" y="4624628"/>
          <a:ext cx="786546" cy="6804"/>
        </a:xfrm>
        <a:prstGeom xmlns:a="http://schemas.openxmlformats.org/drawingml/2006/main" prst="line">
          <a:avLst/>
        </a:prstGeom>
        <a:ln xmlns:a="http://schemas.openxmlformats.org/drawingml/2006/main" w="15875">
          <a:solidFill>
            <a:srgbClr val="00B05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0.47536</cdr:x>
      <cdr:y>0.87415</cdr:y>
    </cdr:from>
    <cdr:to>
      <cdr:x>0.59629</cdr:x>
      <cdr:y>0.87415</cdr:y>
    </cdr:to>
    <cdr:sp macro="" textlink="">
      <cdr:nvSpPr>
        <cdr:cNvPr id="19" name="Straight Connector 18"/>
        <cdr:cNvSpPr/>
      </cdr:nvSpPr>
      <cdr:spPr>
        <a:xfrm xmlns:a="http://schemas.openxmlformats.org/drawingml/2006/main">
          <a:off x="3091856" y="4638234"/>
          <a:ext cx="786547" cy="0"/>
        </a:xfrm>
        <a:prstGeom xmlns:a="http://schemas.openxmlformats.org/drawingml/2006/main" prst="lin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0.17939</cdr:x>
      <cdr:y>0.878</cdr:y>
    </cdr:from>
    <cdr:to>
      <cdr:x>0.28576</cdr:x>
      <cdr:y>0.878</cdr:y>
    </cdr:to>
    <cdr:sp macro="" textlink="">
      <cdr:nvSpPr>
        <cdr:cNvPr id="21" name="Straight Connector 20"/>
        <cdr:cNvSpPr/>
      </cdr:nvSpPr>
      <cdr:spPr>
        <a:xfrm xmlns:a="http://schemas.openxmlformats.org/drawingml/2006/main">
          <a:off x="1166791" y="4658645"/>
          <a:ext cx="691869" cy="0"/>
        </a:xfrm>
        <a:prstGeom xmlns:a="http://schemas.openxmlformats.org/drawingml/2006/main" prst="line">
          <a:avLst/>
        </a:prstGeom>
        <a:ln xmlns:a="http://schemas.openxmlformats.org/drawingml/2006/main" w="15875">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3.xml><?xml version="1.0" encoding="utf-8"?>
<c:userShapes xmlns:c="http://schemas.openxmlformats.org/drawingml/2006/chart">
  <cdr:relSizeAnchor xmlns:cdr="http://schemas.openxmlformats.org/drawingml/2006/chartDrawing">
    <cdr:from>
      <cdr:x>0.01038</cdr:x>
      <cdr:y>0.02154</cdr:y>
    </cdr:from>
    <cdr:to>
      <cdr:x>0.0496</cdr:x>
      <cdr:y>0.51344</cdr:y>
    </cdr:to>
    <cdr:sp macro="" textlink="">
      <cdr:nvSpPr>
        <cdr:cNvPr id="2" name="TextBox 1"/>
        <cdr:cNvSpPr txBox="1"/>
      </cdr:nvSpPr>
      <cdr:spPr>
        <a:xfrm xmlns:a="http://schemas.openxmlformats.org/drawingml/2006/main" rot="16200000">
          <a:off x="-1099491" y="1274754"/>
          <a:ext cx="2563175" cy="2381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site</a:t>
          </a:r>
          <a:r>
            <a:rPr lang="en-US" sz="1050" baseline="0"/>
            <a:t> and source 6 months </a:t>
          </a:r>
          <a:r>
            <a:rPr lang="en-US" sz="1050"/>
            <a:t>kBtu/sf</a:t>
          </a:r>
        </a:p>
      </cdr:txBody>
    </cdr:sp>
  </cdr:relSizeAnchor>
  <cdr:relSizeAnchor xmlns:cdr="http://schemas.openxmlformats.org/drawingml/2006/chartDrawing">
    <cdr:from>
      <cdr:x>0.22423</cdr:x>
      <cdr:y>0.85081</cdr:y>
    </cdr:from>
    <cdr:to>
      <cdr:x>0.418</cdr:x>
      <cdr:y>0.9086</cdr:y>
    </cdr:to>
    <cdr:sp macro="" textlink="">
      <cdr:nvSpPr>
        <cdr:cNvPr id="3" name="TextBox 2"/>
        <cdr:cNvSpPr txBox="1"/>
      </cdr:nvSpPr>
      <cdr:spPr>
        <a:xfrm xmlns:a="http://schemas.openxmlformats.org/drawingml/2006/main">
          <a:off x="1458432" y="4514384"/>
          <a:ext cx="1260321" cy="3066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site energy</a:t>
          </a:r>
          <a:r>
            <a:rPr lang="en-US" sz="1050" baseline="0"/>
            <a:t> use</a:t>
          </a:r>
        </a:p>
      </cdr:txBody>
    </cdr:sp>
  </cdr:relSizeAnchor>
  <cdr:relSizeAnchor xmlns:cdr="http://schemas.openxmlformats.org/drawingml/2006/chartDrawing">
    <cdr:from>
      <cdr:x>0.51641</cdr:x>
      <cdr:y>0.84946</cdr:y>
    </cdr:from>
    <cdr:to>
      <cdr:x>0.76209</cdr:x>
      <cdr:y>0.91532</cdr:y>
    </cdr:to>
    <cdr:sp macro="" textlink="">
      <cdr:nvSpPr>
        <cdr:cNvPr id="5" name="TextBox 4"/>
        <cdr:cNvSpPr txBox="1"/>
      </cdr:nvSpPr>
      <cdr:spPr>
        <a:xfrm xmlns:a="http://schemas.openxmlformats.org/drawingml/2006/main">
          <a:off x="3358823" y="4507221"/>
          <a:ext cx="1597955" cy="3494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source energy use</a:t>
          </a:r>
        </a:p>
      </cdr:txBody>
    </cdr:sp>
  </cdr:relSizeAnchor>
  <cdr:relSizeAnchor xmlns:cdr="http://schemas.openxmlformats.org/drawingml/2006/chartDrawing">
    <cdr:from>
      <cdr:x>0.40328</cdr:x>
      <cdr:y>0.94158</cdr:y>
    </cdr:from>
    <cdr:to>
      <cdr:x>0.41712</cdr:x>
      <cdr:y>0.95754</cdr:y>
    </cdr:to>
    <cdr:sp macro="" textlink="">
      <cdr:nvSpPr>
        <cdr:cNvPr id="7" name="Rectangle 6"/>
        <cdr:cNvSpPr/>
      </cdr:nvSpPr>
      <cdr:spPr>
        <a:xfrm xmlns:a="http://schemas.openxmlformats.org/drawingml/2006/main">
          <a:off x="2623008" y="4996008"/>
          <a:ext cx="90019" cy="84684"/>
        </a:xfrm>
        <a:prstGeom xmlns:a="http://schemas.openxmlformats.org/drawingml/2006/main" prst="rect">
          <a:avLst/>
        </a:prstGeom>
        <a:solidFill xmlns:a="http://schemas.openxmlformats.org/drawingml/2006/main">
          <a:schemeClr val="accent1">
            <a:lumMod val="60000"/>
            <a:lumOff val="40000"/>
          </a:schemeClr>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0.25555</cdr:x>
      <cdr:y>0.94236</cdr:y>
    </cdr:from>
    <cdr:to>
      <cdr:x>0.26939</cdr:x>
      <cdr:y>0.95831</cdr:y>
    </cdr:to>
    <cdr:sp macro="" textlink="">
      <cdr:nvSpPr>
        <cdr:cNvPr id="9" name="Rectangle 8"/>
        <cdr:cNvSpPr/>
      </cdr:nvSpPr>
      <cdr:spPr>
        <a:xfrm xmlns:a="http://schemas.openxmlformats.org/drawingml/2006/main">
          <a:off x="1662141" y="5000147"/>
          <a:ext cx="90018" cy="84631"/>
        </a:xfrm>
        <a:prstGeom xmlns:a="http://schemas.openxmlformats.org/drawingml/2006/main" prst="rect">
          <a:avLst/>
        </a:prstGeom>
        <a:solidFill xmlns:a="http://schemas.openxmlformats.org/drawingml/2006/main">
          <a:srgbClr val="FFFF00"/>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0.57973</cdr:x>
      <cdr:y>0.9425</cdr:y>
    </cdr:from>
    <cdr:to>
      <cdr:x>0.59358</cdr:x>
      <cdr:y>0.95846</cdr:y>
    </cdr:to>
    <cdr:sp macro="" textlink="">
      <cdr:nvSpPr>
        <cdr:cNvPr id="10" name="Rectangle 9"/>
        <cdr:cNvSpPr/>
      </cdr:nvSpPr>
      <cdr:spPr>
        <a:xfrm xmlns:a="http://schemas.openxmlformats.org/drawingml/2006/main">
          <a:off x="3770677" y="5000890"/>
          <a:ext cx="90083" cy="84683"/>
        </a:xfrm>
        <a:prstGeom xmlns:a="http://schemas.openxmlformats.org/drawingml/2006/main" prst="rect">
          <a:avLst/>
        </a:prstGeom>
        <a:solidFill xmlns:a="http://schemas.openxmlformats.org/drawingml/2006/main">
          <a:schemeClr val="accent4">
            <a:lumMod val="60000"/>
            <a:lumOff val="40000"/>
          </a:schemeClr>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0.26922</cdr:x>
      <cdr:y>0.92416</cdr:y>
    </cdr:from>
    <cdr:to>
      <cdr:x>0.41142</cdr:x>
      <cdr:y>0.96904</cdr:y>
    </cdr:to>
    <cdr:sp macro="" textlink="">
      <cdr:nvSpPr>
        <cdr:cNvPr id="13" name="TextBox 12"/>
        <cdr:cNvSpPr txBox="1"/>
      </cdr:nvSpPr>
      <cdr:spPr>
        <a:xfrm xmlns:a="http://schemas.openxmlformats.org/drawingml/2006/main">
          <a:off x="1751054" y="4903578"/>
          <a:ext cx="924899" cy="238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electricity</a:t>
          </a:r>
        </a:p>
      </cdr:txBody>
    </cdr:sp>
  </cdr:relSizeAnchor>
  <cdr:relSizeAnchor xmlns:cdr="http://schemas.openxmlformats.org/drawingml/2006/chartDrawing">
    <cdr:from>
      <cdr:x>0.41702</cdr:x>
      <cdr:y>0.92288</cdr:y>
    </cdr:from>
    <cdr:to>
      <cdr:x>0.59393</cdr:x>
      <cdr:y>0.98058</cdr:y>
    </cdr:to>
    <cdr:sp macro="" textlink="">
      <cdr:nvSpPr>
        <cdr:cNvPr id="14" name="TextBox 13"/>
        <cdr:cNvSpPr txBox="1"/>
      </cdr:nvSpPr>
      <cdr:spPr>
        <a:xfrm xmlns:a="http://schemas.openxmlformats.org/drawingml/2006/main">
          <a:off x="2712376" y="4896787"/>
          <a:ext cx="1150661" cy="3061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gas/propane</a:t>
          </a:r>
        </a:p>
      </cdr:txBody>
    </cdr:sp>
  </cdr:relSizeAnchor>
  <cdr:relSizeAnchor xmlns:cdr="http://schemas.openxmlformats.org/drawingml/2006/chartDrawing">
    <cdr:from>
      <cdr:x>0.59505</cdr:x>
      <cdr:y>0.92672</cdr:y>
    </cdr:from>
    <cdr:to>
      <cdr:x>0.74957</cdr:x>
      <cdr:y>0.97673</cdr:y>
    </cdr:to>
    <cdr:sp macro="" textlink="">
      <cdr:nvSpPr>
        <cdr:cNvPr id="15" name="TextBox 14"/>
        <cdr:cNvSpPr txBox="1"/>
      </cdr:nvSpPr>
      <cdr:spPr>
        <a:xfrm xmlns:a="http://schemas.openxmlformats.org/drawingml/2006/main">
          <a:off x="3870322" y="4917161"/>
          <a:ext cx="1005031" cy="265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other</a:t>
          </a:r>
        </a:p>
      </cdr:txBody>
    </cdr:sp>
  </cdr:relSizeAnchor>
  <cdr:relSizeAnchor xmlns:cdr="http://schemas.openxmlformats.org/drawingml/2006/chartDrawing">
    <cdr:from>
      <cdr:x>0.69921</cdr:x>
      <cdr:y>0.87415</cdr:y>
    </cdr:from>
    <cdr:to>
      <cdr:x>0.82014</cdr:x>
      <cdr:y>0.87415</cdr:y>
    </cdr:to>
    <cdr:sp macro="" textlink="">
      <cdr:nvSpPr>
        <cdr:cNvPr id="19" name="Straight Connector 18"/>
        <cdr:cNvSpPr/>
      </cdr:nvSpPr>
      <cdr:spPr>
        <a:xfrm xmlns:a="http://schemas.openxmlformats.org/drawingml/2006/main">
          <a:off x="4547808" y="4638226"/>
          <a:ext cx="786555" cy="0"/>
        </a:xfrm>
        <a:prstGeom xmlns:a="http://schemas.openxmlformats.org/drawingml/2006/main" prst="lin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0.39383</cdr:x>
      <cdr:y>0.878</cdr:y>
    </cdr:from>
    <cdr:to>
      <cdr:x>0.5002</cdr:x>
      <cdr:y>0.878</cdr:y>
    </cdr:to>
    <cdr:sp macro="" textlink="">
      <cdr:nvSpPr>
        <cdr:cNvPr id="21" name="Straight Connector 20"/>
        <cdr:cNvSpPr/>
      </cdr:nvSpPr>
      <cdr:spPr>
        <a:xfrm xmlns:a="http://schemas.openxmlformats.org/drawingml/2006/main">
          <a:off x="2561523" y="4658654"/>
          <a:ext cx="691853" cy="0"/>
        </a:xfrm>
        <a:prstGeom xmlns:a="http://schemas.openxmlformats.org/drawingml/2006/main" prst="line">
          <a:avLst/>
        </a:prstGeom>
        <a:ln xmlns:a="http://schemas.openxmlformats.org/drawingml/2006/main" w="15875">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4.xml><?xml version="1.0" encoding="utf-8"?>
<xdr:wsDr xmlns:xdr="http://schemas.openxmlformats.org/drawingml/2006/spreadsheetDrawing" xmlns:a="http://schemas.openxmlformats.org/drawingml/2006/main">
  <xdr:twoCellAnchor>
    <xdr:from>
      <xdr:col>4</xdr:col>
      <xdr:colOff>51936</xdr:colOff>
      <xdr:row>39</xdr:row>
      <xdr:rowOff>26307</xdr:rowOff>
    </xdr:from>
    <xdr:to>
      <xdr:col>11</xdr:col>
      <xdr:colOff>74840</xdr:colOff>
      <xdr:row>54</xdr:row>
      <xdr:rowOff>88445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510268</xdr:colOff>
      <xdr:row>36</xdr:row>
      <xdr:rowOff>34017</xdr:rowOff>
    </xdr:from>
    <xdr:to>
      <xdr:col>22</xdr:col>
      <xdr:colOff>108857</xdr:colOff>
      <xdr:row>62</xdr:row>
      <xdr:rowOff>60430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0.02745</cdr:x>
      <cdr:y>0</cdr:y>
    </cdr:from>
    <cdr:to>
      <cdr:x>0.09216</cdr:x>
      <cdr:y>0.65278</cdr:y>
    </cdr:to>
    <cdr:sp macro="" textlink="">
      <cdr:nvSpPr>
        <cdr:cNvPr id="2" name="TextBox 1"/>
        <cdr:cNvSpPr txBox="1"/>
      </cdr:nvSpPr>
      <cdr:spPr>
        <a:xfrm xmlns:a="http://schemas.openxmlformats.org/drawingml/2006/main" rot="16200000">
          <a:off x="-604835" y="738187"/>
          <a:ext cx="1790699"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6 mo source</a:t>
          </a:r>
          <a:r>
            <a:rPr lang="en-US" sz="1000" baseline="0"/>
            <a:t> kBtu/sf </a:t>
          </a:r>
          <a:endParaRPr lang="en-US" sz="1000"/>
        </a:p>
      </cdr:txBody>
    </cdr:sp>
  </cdr:relSizeAnchor>
  <cdr:relSizeAnchor xmlns:cdr="http://schemas.openxmlformats.org/drawingml/2006/chartDrawing">
    <cdr:from>
      <cdr:x>0.34314</cdr:x>
      <cdr:y>0.75694</cdr:y>
    </cdr:from>
    <cdr:to>
      <cdr:x>0.69804</cdr:x>
      <cdr:y>0.82639</cdr:y>
    </cdr:to>
    <cdr:sp macro="" textlink="">
      <cdr:nvSpPr>
        <cdr:cNvPr id="3" name="TextBox 2"/>
        <cdr:cNvSpPr txBox="1"/>
      </cdr:nvSpPr>
      <cdr:spPr>
        <a:xfrm xmlns:a="http://schemas.openxmlformats.org/drawingml/2006/main">
          <a:off x="1666875" y="2076450"/>
          <a:ext cx="172402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6 month source-site</a:t>
          </a:r>
          <a:r>
            <a:rPr lang="en-US" sz="1000" baseline="0"/>
            <a:t> ratio</a:t>
          </a:r>
          <a:endParaRPr lang="en-US" sz="1000"/>
        </a:p>
      </cdr:txBody>
    </cdr:sp>
  </cdr:relSizeAnchor>
  <cdr:relSizeAnchor xmlns:cdr="http://schemas.openxmlformats.org/drawingml/2006/chartDrawing">
    <cdr:from>
      <cdr:x>0.59412</cdr:x>
      <cdr:y>0.48611</cdr:y>
    </cdr:from>
    <cdr:to>
      <cdr:x>0.74902</cdr:x>
      <cdr:y>0.56597</cdr:y>
    </cdr:to>
    <cdr:sp macro="" textlink="">
      <cdr:nvSpPr>
        <cdr:cNvPr id="6" name="TextBox 5"/>
        <cdr:cNvSpPr txBox="1"/>
      </cdr:nvSpPr>
      <cdr:spPr>
        <a:xfrm xmlns:a="http://schemas.openxmlformats.org/drawingml/2006/main">
          <a:off x="2886075" y="1333500"/>
          <a:ext cx="752475"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Belmont</a:t>
          </a:r>
        </a:p>
      </cdr:txBody>
    </cdr:sp>
  </cdr:relSizeAnchor>
  <cdr:relSizeAnchor xmlns:cdr="http://schemas.openxmlformats.org/drawingml/2006/chartDrawing">
    <cdr:from>
      <cdr:x>0.76471</cdr:x>
      <cdr:y>0.51389</cdr:y>
    </cdr:from>
    <cdr:to>
      <cdr:x>0.98019</cdr:x>
      <cdr:y>0.59375</cdr:y>
    </cdr:to>
    <cdr:sp macro="" textlink="">
      <cdr:nvSpPr>
        <cdr:cNvPr id="7" name="TextBox 6"/>
        <cdr:cNvSpPr txBox="1"/>
      </cdr:nvSpPr>
      <cdr:spPr>
        <a:xfrm xmlns:a="http://schemas.openxmlformats.org/drawingml/2006/main">
          <a:off x="3414917" y="1500373"/>
          <a:ext cx="962271" cy="2331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Northampton</a:t>
          </a:r>
        </a:p>
      </cdr:txBody>
    </cdr:sp>
  </cdr:relSizeAnchor>
  <cdr:relSizeAnchor xmlns:cdr="http://schemas.openxmlformats.org/drawingml/2006/chartDrawing">
    <cdr:from>
      <cdr:x>0.4902</cdr:x>
      <cdr:y>0.51042</cdr:y>
    </cdr:from>
    <cdr:to>
      <cdr:x>0.61176</cdr:x>
      <cdr:y>0.61458</cdr:y>
    </cdr:to>
    <cdr:sp macro="" textlink="">
      <cdr:nvSpPr>
        <cdr:cNvPr id="8" name="TextBox 7"/>
        <cdr:cNvSpPr txBox="1"/>
      </cdr:nvSpPr>
      <cdr:spPr>
        <a:xfrm xmlns:a="http://schemas.openxmlformats.org/drawingml/2006/main">
          <a:off x="2381269" y="1400175"/>
          <a:ext cx="590508" cy="2857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Quincy</a:t>
          </a:r>
        </a:p>
      </cdr:txBody>
    </cdr:sp>
  </cdr:relSizeAnchor>
  <cdr:relSizeAnchor xmlns:cdr="http://schemas.openxmlformats.org/drawingml/2006/chartDrawing">
    <cdr:from>
      <cdr:x>0.79608</cdr:x>
      <cdr:y>0.23553</cdr:y>
    </cdr:from>
    <cdr:to>
      <cdr:x>0.97867</cdr:x>
      <cdr:y>0.33681</cdr:y>
    </cdr:to>
    <cdr:sp macro="" textlink="">
      <cdr:nvSpPr>
        <cdr:cNvPr id="10" name="TextBox 9"/>
        <cdr:cNvSpPr txBox="1"/>
      </cdr:nvSpPr>
      <cdr:spPr>
        <a:xfrm xmlns:a="http://schemas.openxmlformats.org/drawingml/2006/main">
          <a:off x="3555003" y="687662"/>
          <a:ext cx="815381" cy="2957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Gloucester</a:t>
          </a:r>
        </a:p>
      </cdr:txBody>
    </cdr:sp>
  </cdr:relSizeAnchor>
  <cdr:relSizeAnchor xmlns:cdr="http://schemas.openxmlformats.org/drawingml/2006/chartDrawing">
    <cdr:from>
      <cdr:x>0.46606</cdr:x>
      <cdr:y>0.17187</cdr:y>
    </cdr:from>
    <cdr:to>
      <cdr:x>0.63892</cdr:x>
      <cdr:y>0.26157</cdr:y>
    </cdr:to>
    <cdr:sp macro="" textlink="">
      <cdr:nvSpPr>
        <cdr:cNvPr id="11" name="TextBox 10"/>
        <cdr:cNvSpPr txBox="1"/>
      </cdr:nvSpPr>
      <cdr:spPr>
        <a:xfrm xmlns:a="http://schemas.openxmlformats.org/drawingml/2006/main">
          <a:off x="2081254" y="501798"/>
          <a:ext cx="771934" cy="26189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Lancaster</a:t>
          </a:r>
        </a:p>
      </cdr:txBody>
    </cdr:sp>
  </cdr:relSizeAnchor>
  <cdr:relSizeAnchor xmlns:cdr="http://schemas.openxmlformats.org/drawingml/2006/chartDrawing">
    <cdr:from>
      <cdr:x>0.68309</cdr:x>
      <cdr:y>0.17187</cdr:y>
    </cdr:from>
    <cdr:to>
      <cdr:x>0.82833</cdr:x>
      <cdr:y>0.29051</cdr:y>
    </cdr:to>
    <cdr:sp macro="" textlink="">
      <cdr:nvSpPr>
        <cdr:cNvPr id="12" name="TextBox 11"/>
        <cdr:cNvSpPr txBox="1"/>
      </cdr:nvSpPr>
      <cdr:spPr>
        <a:xfrm xmlns:a="http://schemas.openxmlformats.org/drawingml/2006/main">
          <a:off x="3322637" y="471487"/>
          <a:ext cx="706438" cy="3254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Millbury</a:t>
          </a:r>
        </a:p>
      </cdr:txBody>
    </cdr:sp>
  </cdr:relSizeAnchor>
  <cdr:relSizeAnchor xmlns:cdr="http://schemas.openxmlformats.org/drawingml/2006/chartDrawing">
    <cdr:from>
      <cdr:x>0.84791</cdr:x>
      <cdr:y>0.68403</cdr:y>
    </cdr:from>
    <cdr:to>
      <cdr:x>0.84791</cdr:x>
      <cdr:y>0.72454</cdr:y>
    </cdr:to>
    <cdr:sp macro="" textlink="">
      <cdr:nvSpPr>
        <cdr:cNvPr id="14" name="Straight Connector 13"/>
        <cdr:cNvSpPr/>
      </cdr:nvSpPr>
      <cdr:spPr>
        <a:xfrm xmlns:a="http://schemas.openxmlformats.org/drawingml/2006/main" flipH="1">
          <a:off x="4124322" y="1876423"/>
          <a:ext cx="4" cy="111125"/>
        </a:xfrm>
        <a:prstGeom xmlns:a="http://schemas.openxmlformats.org/drawingml/2006/main" prst="line">
          <a:avLst/>
        </a:prstGeom>
        <a:ln xmlns:a="http://schemas.openxmlformats.org/drawingml/2006/main">
          <a:solidFill>
            <a:srgbClr val="FF0000"/>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0.80385</cdr:x>
      <cdr:y>0.71296</cdr:y>
    </cdr:from>
    <cdr:to>
      <cdr:x>0.89197</cdr:x>
      <cdr:y>0.80845</cdr:y>
    </cdr:to>
    <cdr:sp macro="" textlink="">
      <cdr:nvSpPr>
        <cdr:cNvPr id="15" name="TextBox 14"/>
        <cdr:cNvSpPr txBox="1"/>
      </cdr:nvSpPr>
      <cdr:spPr>
        <a:xfrm xmlns:a="http://schemas.openxmlformats.org/drawingml/2006/main">
          <a:off x="3910013" y="1955800"/>
          <a:ext cx="428624" cy="2619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solidFill>
                <a:srgbClr val="FF0000"/>
              </a:solidFill>
            </a:rPr>
            <a:t>3.34</a:t>
          </a:r>
        </a:p>
      </cdr:txBody>
    </cdr:sp>
  </cdr:relSizeAnchor>
</c:userShapes>
</file>

<file path=xl/drawings/drawing16.xml><?xml version="1.0" encoding="utf-8"?>
<c:userShapes xmlns:c="http://schemas.openxmlformats.org/drawingml/2006/chart">
  <cdr:relSizeAnchor xmlns:cdr="http://schemas.openxmlformats.org/drawingml/2006/chartDrawing">
    <cdr:from>
      <cdr:x>0.01038</cdr:x>
      <cdr:y>0.02154</cdr:y>
    </cdr:from>
    <cdr:to>
      <cdr:x>0.0496</cdr:x>
      <cdr:y>0.51344</cdr:y>
    </cdr:to>
    <cdr:sp macro="" textlink="">
      <cdr:nvSpPr>
        <cdr:cNvPr id="2" name="TextBox 1"/>
        <cdr:cNvSpPr txBox="1"/>
      </cdr:nvSpPr>
      <cdr:spPr>
        <a:xfrm xmlns:a="http://schemas.openxmlformats.org/drawingml/2006/main" rot="16200000">
          <a:off x="-1099491" y="1274754"/>
          <a:ext cx="2563175" cy="2381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site</a:t>
          </a:r>
          <a:r>
            <a:rPr lang="en-US" sz="1050" baseline="0"/>
            <a:t> and source </a:t>
          </a:r>
          <a:r>
            <a:rPr lang="en-US" sz="1050"/>
            <a:t>kBtu/sf</a:t>
          </a:r>
        </a:p>
      </cdr:txBody>
    </cdr:sp>
  </cdr:relSizeAnchor>
  <cdr:relSizeAnchor xmlns:cdr="http://schemas.openxmlformats.org/drawingml/2006/chartDrawing">
    <cdr:from>
      <cdr:x>0.22423</cdr:x>
      <cdr:y>0.85081</cdr:y>
    </cdr:from>
    <cdr:to>
      <cdr:x>0.418</cdr:x>
      <cdr:y>0.9086</cdr:y>
    </cdr:to>
    <cdr:sp macro="" textlink="">
      <cdr:nvSpPr>
        <cdr:cNvPr id="3" name="TextBox 2"/>
        <cdr:cNvSpPr txBox="1"/>
      </cdr:nvSpPr>
      <cdr:spPr>
        <a:xfrm xmlns:a="http://schemas.openxmlformats.org/drawingml/2006/main">
          <a:off x="1458432" y="4514384"/>
          <a:ext cx="1260321" cy="3066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site energy</a:t>
          </a:r>
          <a:r>
            <a:rPr lang="en-US" sz="1050" baseline="0"/>
            <a:t> use</a:t>
          </a:r>
        </a:p>
      </cdr:txBody>
    </cdr:sp>
  </cdr:relSizeAnchor>
  <cdr:relSizeAnchor xmlns:cdr="http://schemas.openxmlformats.org/drawingml/2006/chartDrawing">
    <cdr:from>
      <cdr:x>0.51641</cdr:x>
      <cdr:y>0.84946</cdr:y>
    </cdr:from>
    <cdr:to>
      <cdr:x>0.76209</cdr:x>
      <cdr:y>0.91532</cdr:y>
    </cdr:to>
    <cdr:sp macro="" textlink="">
      <cdr:nvSpPr>
        <cdr:cNvPr id="5" name="TextBox 4"/>
        <cdr:cNvSpPr txBox="1"/>
      </cdr:nvSpPr>
      <cdr:spPr>
        <a:xfrm xmlns:a="http://schemas.openxmlformats.org/drawingml/2006/main">
          <a:off x="3358823" y="4507221"/>
          <a:ext cx="1597955" cy="3494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source energy use</a:t>
          </a:r>
        </a:p>
      </cdr:txBody>
    </cdr:sp>
  </cdr:relSizeAnchor>
  <cdr:relSizeAnchor xmlns:cdr="http://schemas.openxmlformats.org/drawingml/2006/chartDrawing">
    <cdr:from>
      <cdr:x>0.40328</cdr:x>
      <cdr:y>0.94158</cdr:y>
    </cdr:from>
    <cdr:to>
      <cdr:x>0.41712</cdr:x>
      <cdr:y>0.95754</cdr:y>
    </cdr:to>
    <cdr:sp macro="" textlink="">
      <cdr:nvSpPr>
        <cdr:cNvPr id="7" name="Rectangle 6"/>
        <cdr:cNvSpPr/>
      </cdr:nvSpPr>
      <cdr:spPr>
        <a:xfrm xmlns:a="http://schemas.openxmlformats.org/drawingml/2006/main">
          <a:off x="2623008" y="4996008"/>
          <a:ext cx="90019" cy="84684"/>
        </a:xfrm>
        <a:prstGeom xmlns:a="http://schemas.openxmlformats.org/drawingml/2006/main" prst="rect">
          <a:avLst/>
        </a:prstGeom>
        <a:solidFill xmlns:a="http://schemas.openxmlformats.org/drawingml/2006/main">
          <a:schemeClr val="accent1">
            <a:lumMod val="60000"/>
            <a:lumOff val="40000"/>
          </a:schemeClr>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0.25555</cdr:x>
      <cdr:y>0.94236</cdr:y>
    </cdr:from>
    <cdr:to>
      <cdr:x>0.26939</cdr:x>
      <cdr:y>0.95831</cdr:y>
    </cdr:to>
    <cdr:sp macro="" textlink="">
      <cdr:nvSpPr>
        <cdr:cNvPr id="9" name="Rectangle 8"/>
        <cdr:cNvSpPr/>
      </cdr:nvSpPr>
      <cdr:spPr>
        <a:xfrm xmlns:a="http://schemas.openxmlformats.org/drawingml/2006/main">
          <a:off x="1662141" y="5000147"/>
          <a:ext cx="90018" cy="84631"/>
        </a:xfrm>
        <a:prstGeom xmlns:a="http://schemas.openxmlformats.org/drawingml/2006/main" prst="rect">
          <a:avLst/>
        </a:prstGeom>
        <a:solidFill xmlns:a="http://schemas.openxmlformats.org/drawingml/2006/main">
          <a:srgbClr val="FFFF00"/>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0.57973</cdr:x>
      <cdr:y>0.9425</cdr:y>
    </cdr:from>
    <cdr:to>
      <cdr:x>0.59358</cdr:x>
      <cdr:y>0.95846</cdr:y>
    </cdr:to>
    <cdr:sp macro="" textlink="">
      <cdr:nvSpPr>
        <cdr:cNvPr id="10" name="Rectangle 9"/>
        <cdr:cNvSpPr/>
      </cdr:nvSpPr>
      <cdr:spPr>
        <a:xfrm xmlns:a="http://schemas.openxmlformats.org/drawingml/2006/main">
          <a:off x="3770677" y="5000890"/>
          <a:ext cx="90083" cy="84683"/>
        </a:xfrm>
        <a:prstGeom xmlns:a="http://schemas.openxmlformats.org/drawingml/2006/main" prst="rect">
          <a:avLst/>
        </a:prstGeom>
        <a:solidFill xmlns:a="http://schemas.openxmlformats.org/drawingml/2006/main">
          <a:schemeClr val="accent4">
            <a:lumMod val="60000"/>
            <a:lumOff val="40000"/>
          </a:schemeClr>
        </a:solidFill>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0.26922</cdr:x>
      <cdr:y>0.92416</cdr:y>
    </cdr:from>
    <cdr:to>
      <cdr:x>0.41142</cdr:x>
      <cdr:y>0.96904</cdr:y>
    </cdr:to>
    <cdr:sp macro="" textlink="">
      <cdr:nvSpPr>
        <cdr:cNvPr id="13" name="TextBox 12"/>
        <cdr:cNvSpPr txBox="1"/>
      </cdr:nvSpPr>
      <cdr:spPr>
        <a:xfrm xmlns:a="http://schemas.openxmlformats.org/drawingml/2006/main">
          <a:off x="1751054" y="4903578"/>
          <a:ext cx="924899" cy="238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electricity</a:t>
          </a:r>
        </a:p>
      </cdr:txBody>
    </cdr:sp>
  </cdr:relSizeAnchor>
  <cdr:relSizeAnchor xmlns:cdr="http://schemas.openxmlformats.org/drawingml/2006/chartDrawing">
    <cdr:from>
      <cdr:x>0.41702</cdr:x>
      <cdr:y>0.92288</cdr:y>
    </cdr:from>
    <cdr:to>
      <cdr:x>0.59393</cdr:x>
      <cdr:y>0.98058</cdr:y>
    </cdr:to>
    <cdr:sp macro="" textlink="">
      <cdr:nvSpPr>
        <cdr:cNvPr id="14" name="TextBox 13"/>
        <cdr:cNvSpPr txBox="1"/>
      </cdr:nvSpPr>
      <cdr:spPr>
        <a:xfrm xmlns:a="http://schemas.openxmlformats.org/drawingml/2006/main">
          <a:off x="2712376" y="4896787"/>
          <a:ext cx="1150661" cy="3061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gas/propane</a:t>
          </a:r>
        </a:p>
      </cdr:txBody>
    </cdr:sp>
  </cdr:relSizeAnchor>
  <cdr:relSizeAnchor xmlns:cdr="http://schemas.openxmlformats.org/drawingml/2006/chartDrawing">
    <cdr:from>
      <cdr:x>0.59505</cdr:x>
      <cdr:y>0.92672</cdr:y>
    </cdr:from>
    <cdr:to>
      <cdr:x>0.74957</cdr:x>
      <cdr:y>0.97673</cdr:y>
    </cdr:to>
    <cdr:sp macro="" textlink="">
      <cdr:nvSpPr>
        <cdr:cNvPr id="15" name="TextBox 14"/>
        <cdr:cNvSpPr txBox="1"/>
      </cdr:nvSpPr>
      <cdr:spPr>
        <a:xfrm xmlns:a="http://schemas.openxmlformats.org/drawingml/2006/main">
          <a:off x="3870322" y="4917161"/>
          <a:ext cx="1005031" cy="265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other</a:t>
          </a:r>
        </a:p>
      </cdr:txBody>
    </cdr:sp>
  </cdr:relSizeAnchor>
  <cdr:relSizeAnchor xmlns:cdr="http://schemas.openxmlformats.org/drawingml/2006/chartDrawing">
    <cdr:from>
      <cdr:x>0.69921</cdr:x>
      <cdr:y>0.87415</cdr:y>
    </cdr:from>
    <cdr:to>
      <cdr:x>0.82014</cdr:x>
      <cdr:y>0.87415</cdr:y>
    </cdr:to>
    <cdr:sp macro="" textlink="">
      <cdr:nvSpPr>
        <cdr:cNvPr id="19" name="Straight Connector 18"/>
        <cdr:cNvSpPr/>
      </cdr:nvSpPr>
      <cdr:spPr>
        <a:xfrm xmlns:a="http://schemas.openxmlformats.org/drawingml/2006/main">
          <a:off x="4547808" y="4638226"/>
          <a:ext cx="786555" cy="0"/>
        </a:xfrm>
        <a:prstGeom xmlns:a="http://schemas.openxmlformats.org/drawingml/2006/main" prst="lin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0.39383</cdr:x>
      <cdr:y>0.878</cdr:y>
    </cdr:from>
    <cdr:to>
      <cdr:x>0.5002</cdr:x>
      <cdr:y>0.878</cdr:y>
    </cdr:to>
    <cdr:sp macro="" textlink="">
      <cdr:nvSpPr>
        <cdr:cNvPr id="21" name="Straight Connector 20"/>
        <cdr:cNvSpPr/>
      </cdr:nvSpPr>
      <cdr:spPr>
        <a:xfrm xmlns:a="http://schemas.openxmlformats.org/drawingml/2006/main">
          <a:off x="2561523" y="4658654"/>
          <a:ext cx="691853" cy="0"/>
        </a:xfrm>
        <a:prstGeom xmlns:a="http://schemas.openxmlformats.org/drawingml/2006/main" prst="line">
          <a:avLst/>
        </a:prstGeom>
        <a:ln xmlns:a="http://schemas.openxmlformats.org/drawingml/2006/main" w="15875">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0.68619</cdr:x>
      <cdr:y>0.00292</cdr:y>
    </cdr:from>
    <cdr:to>
      <cdr:x>0.68933</cdr:x>
      <cdr:y>0.71399</cdr:y>
    </cdr:to>
    <cdr:sp macro="" textlink="">
      <cdr:nvSpPr>
        <cdr:cNvPr id="17" name="Straight Connector 16"/>
        <cdr:cNvSpPr/>
      </cdr:nvSpPr>
      <cdr:spPr>
        <a:xfrm xmlns:a="http://schemas.openxmlformats.org/drawingml/2006/main" flipV="1">
          <a:off x="4463143" y="13608"/>
          <a:ext cx="20411" cy="3313339"/>
        </a:xfrm>
        <a:prstGeom xmlns:a="http://schemas.openxmlformats.org/drawingml/2006/main" prst="line">
          <a:avLst/>
        </a:prstGeom>
        <a:ln xmlns:a="http://schemas.openxmlformats.org/drawingml/2006/main" w="1905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0.50732</cdr:x>
      <cdr:y>0.00292</cdr:y>
    </cdr:from>
    <cdr:to>
      <cdr:x>0.64791</cdr:x>
      <cdr:y>0.19916</cdr:y>
    </cdr:to>
    <cdr:sp macro="" textlink="">
      <cdr:nvSpPr>
        <cdr:cNvPr id="18" name="TextBox 17"/>
        <cdr:cNvSpPr txBox="1"/>
      </cdr:nvSpPr>
      <cdr:spPr>
        <a:xfrm xmlns:a="http://schemas.openxmlformats.org/drawingml/2006/main">
          <a:off x="3299732" y="13608"/>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0.28452</cdr:x>
      <cdr:y>0.0041</cdr:y>
    </cdr:from>
    <cdr:to>
      <cdr:x>0.63389</cdr:x>
      <cdr:y>0.10248</cdr:y>
    </cdr:to>
    <cdr:sp macro="" textlink="">
      <cdr:nvSpPr>
        <cdr:cNvPr id="20" name="TextBox 19"/>
        <cdr:cNvSpPr txBox="1"/>
      </cdr:nvSpPr>
      <cdr:spPr>
        <a:xfrm xmlns:a="http://schemas.openxmlformats.org/drawingml/2006/main">
          <a:off x="1850571" y="20410"/>
          <a:ext cx="2272393" cy="4898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050"/>
            <a:t>kBtu/sf for 12 months </a:t>
          </a:r>
        </a:p>
        <a:p xmlns:a="http://schemas.openxmlformats.org/drawingml/2006/main">
          <a:pPr algn="ctr"/>
          <a:r>
            <a:rPr lang="en-US" sz="1050"/>
            <a:t>(Aug 11 - Jul</a:t>
          </a:r>
          <a:r>
            <a:rPr lang="en-US" sz="1050" baseline="0"/>
            <a:t> 12)</a:t>
          </a:r>
          <a:endParaRPr lang="en-US" sz="1050"/>
        </a:p>
      </cdr:txBody>
    </cdr:sp>
  </cdr:relSizeAnchor>
  <cdr:relSizeAnchor xmlns:cdr="http://schemas.openxmlformats.org/drawingml/2006/chartDrawing">
    <cdr:from>
      <cdr:x>0.71653</cdr:x>
      <cdr:y>0</cdr:y>
    </cdr:from>
    <cdr:to>
      <cdr:x>0.92364</cdr:x>
      <cdr:y>0.10794</cdr:y>
    </cdr:to>
    <cdr:sp macro="" textlink="">
      <cdr:nvSpPr>
        <cdr:cNvPr id="22" name="TextBox 21"/>
        <cdr:cNvSpPr txBox="1"/>
      </cdr:nvSpPr>
      <cdr:spPr>
        <a:xfrm xmlns:a="http://schemas.openxmlformats.org/drawingml/2006/main">
          <a:off x="4660446" y="0"/>
          <a:ext cx="1347108" cy="5374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050"/>
            <a:t>kBtu/sf for 6 months (Feb 12 - Jul 12)</a:t>
          </a:r>
        </a:p>
      </cdr:txBody>
    </cdr:sp>
  </cdr:relSizeAnchor>
</c:userShapes>
</file>

<file path=xl/drawings/drawing17.xml><?xml version="1.0" encoding="utf-8"?>
<xdr:wsDr xmlns:xdr="http://schemas.openxmlformats.org/drawingml/2006/spreadsheetDrawing" xmlns:a="http://schemas.openxmlformats.org/drawingml/2006/main">
  <xdr:twoCellAnchor>
    <xdr:from>
      <xdr:col>13</xdr:col>
      <xdr:colOff>409575</xdr:colOff>
      <xdr:row>23</xdr:row>
      <xdr:rowOff>121328</xdr:rowOff>
    </xdr:from>
    <xdr:to>
      <xdr:col>21</xdr:col>
      <xdr:colOff>85725</xdr:colOff>
      <xdr:row>35</xdr:row>
      <xdr:rowOff>189365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0.1492</cdr:x>
      <cdr:y>0.48772</cdr:y>
    </cdr:from>
    <cdr:to>
      <cdr:x>0.27176</cdr:x>
      <cdr:y>0.56842</cdr:y>
    </cdr:to>
    <cdr:sp macro="" textlink="">
      <cdr:nvSpPr>
        <cdr:cNvPr id="2" name="TextBox 1"/>
        <cdr:cNvSpPr txBox="1"/>
      </cdr:nvSpPr>
      <cdr:spPr>
        <a:xfrm xmlns:a="http://schemas.openxmlformats.org/drawingml/2006/main">
          <a:off x="799288" y="1891393"/>
          <a:ext cx="656558" cy="3129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5 kW PV</a:t>
          </a:r>
        </a:p>
      </cdr:txBody>
    </cdr:sp>
  </cdr:relSizeAnchor>
  <cdr:relSizeAnchor xmlns:cdr="http://schemas.openxmlformats.org/drawingml/2006/chartDrawing">
    <cdr:from>
      <cdr:x>0.25222</cdr:x>
      <cdr:y>0.18947</cdr:y>
    </cdr:from>
    <cdr:to>
      <cdr:x>0.40853</cdr:x>
      <cdr:y>0.25263</cdr:y>
    </cdr:to>
    <cdr:sp macro="" textlink="">
      <cdr:nvSpPr>
        <cdr:cNvPr id="3" name="TextBox 2"/>
        <cdr:cNvSpPr txBox="1"/>
      </cdr:nvSpPr>
      <cdr:spPr>
        <a:xfrm xmlns:a="http://schemas.openxmlformats.org/drawingml/2006/main">
          <a:off x="1351177" y="734786"/>
          <a:ext cx="837349" cy="2449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4.3 kW PV</a:t>
          </a:r>
        </a:p>
      </cdr:txBody>
    </cdr:sp>
  </cdr:relSizeAnchor>
  <cdr:relSizeAnchor xmlns:cdr="http://schemas.openxmlformats.org/drawingml/2006/chartDrawing">
    <cdr:from>
      <cdr:x>0.39345</cdr:x>
      <cdr:y>0.32281</cdr:y>
    </cdr:from>
    <cdr:to>
      <cdr:x>0.5524</cdr:x>
      <cdr:y>0.3807</cdr:y>
    </cdr:to>
    <cdr:sp macro="" textlink="">
      <cdr:nvSpPr>
        <cdr:cNvPr id="4" name="TextBox 3"/>
        <cdr:cNvSpPr txBox="1"/>
      </cdr:nvSpPr>
      <cdr:spPr>
        <a:xfrm xmlns:a="http://schemas.openxmlformats.org/drawingml/2006/main">
          <a:off x="2107747" y="1251859"/>
          <a:ext cx="851520" cy="2245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6.25 kW PV</a:t>
          </a:r>
        </a:p>
      </cdr:txBody>
    </cdr:sp>
  </cdr:relSizeAnchor>
  <cdr:relSizeAnchor xmlns:cdr="http://schemas.openxmlformats.org/drawingml/2006/chartDrawing">
    <cdr:from>
      <cdr:x>0.52398</cdr:x>
      <cdr:y>0.34035</cdr:y>
    </cdr:from>
    <cdr:to>
      <cdr:x>0.67318</cdr:x>
      <cdr:y>0.40702</cdr:y>
    </cdr:to>
    <cdr:sp macro="" textlink="">
      <cdr:nvSpPr>
        <cdr:cNvPr id="5" name="TextBox 4"/>
        <cdr:cNvSpPr txBox="1"/>
      </cdr:nvSpPr>
      <cdr:spPr>
        <a:xfrm xmlns:a="http://schemas.openxmlformats.org/drawingml/2006/main">
          <a:off x="2807023" y="1319894"/>
          <a:ext cx="799288" cy="2585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2.8 kW PV</a:t>
          </a:r>
        </a:p>
      </cdr:txBody>
    </cdr:sp>
  </cdr:relSizeAnchor>
  <cdr:relSizeAnchor xmlns:cdr="http://schemas.openxmlformats.org/drawingml/2006/chartDrawing">
    <cdr:from>
      <cdr:x>0.79218</cdr:x>
      <cdr:y>0.34035</cdr:y>
    </cdr:from>
    <cdr:to>
      <cdr:x>0.9556</cdr:x>
      <cdr:y>0.4</cdr:y>
    </cdr:to>
    <cdr:sp macro="" textlink="">
      <cdr:nvSpPr>
        <cdr:cNvPr id="6" name="TextBox 5"/>
        <cdr:cNvSpPr txBox="1"/>
      </cdr:nvSpPr>
      <cdr:spPr>
        <a:xfrm xmlns:a="http://schemas.openxmlformats.org/drawingml/2006/main">
          <a:off x="4243838" y="1319894"/>
          <a:ext cx="875411" cy="2313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3.75 kW</a:t>
          </a:r>
          <a:r>
            <a:rPr lang="en-US" sz="1050" baseline="0"/>
            <a:t> PV</a:t>
          </a:r>
          <a:endParaRPr lang="en-US" sz="1050"/>
        </a:p>
      </cdr:txBody>
    </cdr:sp>
  </cdr:relSizeAnchor>
  <cdr:relSizeAnchor xmlns:cdr="http://schemas.openxmlformats.org/drawingml/2006/chartDrawing">
    <cdr:from>
      <cdr:x>0.01243</cdr:x>
      <cdr:y>0.10865</cdr:y>
    </cdr:from>
    <cdr:to>
      <cdr:x>0.07105</cdr:x>
      <cdr:y>0.28825</cdr:y>
    </cdr:to>
    <cdr:sp macro="" textlink="">
      <cdr:nvSpPr>
        <cdr:cNvPr id="7" name="TextBox 6"/>
        <cdr:cNvSpPr txBox="1"/>
      </cdr:nvSpPr>
      <cdr:spPr>
        <a:xfrm xmlns:a="http://schemas.openxmlformats.org/drawingml/2006/main" rot="16200000">
          <a:off x="-161922" y="695324"/>
          <a:ext cx="771525"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MMBtu</a:t>
          </a:r>
        </a:p>
      </cdr:txBody>
    </cdr:sp>
  </cdr:relSizeAnchor>
  <cdr:relSizeAnchor xmlns:cdr="http://schemas.openxmlformats.org/drawingml/2006/chartDrawing">
    <cdr:from>
      <cdr:x>0.08881</cdr:x>
      <cdr:y>0.84916</cdr:y>
    </cdr:from>
    <cdr:to>
      <cdr:x>0.10657</cdr:x>
      <cdr:y>0.86911</cdr:y>
    </cdr:to>
    <cdr:sp macro="" textlink="">
      <cdr:nvSpPr>
        <cdr:cNvPr id="8" name="Rectangle 7"/>
        <cdr:cNvSpPr/>
      </cdr:nvSpPr>
      <cdr:spPr>
        <a:xfrm xmlns:a="http://schemas.openxmlformats.org/drawingml/2006/main">
          <a:off x="475767" y="3446740"/>
          <a:ext cx="95153" cy="81000"/>
        </a:xfrm>
        <a:prstGeom xmlns:a="http://schemas.openxmlformats.org/drawingml/2006/main" prst="rect">
          <a:avLst/>
        </a:prstGeom>
        <a:solidFill xmlns:a="http://schemas.openxmlformats.org/drawingml/2006/main">
          <a:srgbClr val="FFFF00"/>
        </a:solidFill>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0.08881</cdr:x>
      <cdr:y>0.92233</cdr:y>
    </cdr:from>
    <cdr:to>
      <cdr:x>0.10657</cdr:x>
      <cdr:y>0.94228</cdr:y>
    </cdr:to>
    <cdr:sp macro="" textlink="">
      <cdr:nvSpPr>
        <cdr:cNvPr id="10" name="Rectangle 9"/>
        <cdr:cNvSpPr/>
      </cdr:nvSpPr>
      <cdr:spPr>
        <a:xfrm xmlns:a="http://schemas.openxmlformats.org/drawingml/2006/main">
          <a:off x="475767" y="3743741"/>
          <a:ext cx="95153" cy="81000"/>
        </a:xfrm>
        <a:prstGeom xmlns:a="http://schemas.openxmlformats.org/drawingml/2006/main" prst="rect">
          <a:avLst/>
        </a:prstGeom>
        <a:solidFill xmlns:a="http://schemas.openxmlformats.org/drawingml/2006/main">
          <a:srgbClr val="FFFF00"/>
        </a:solidFill>
        <a:ln xmlns:a="http://schemas.openxmlformats.org/drawingml/2006/main" w="12700">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0.11181</cdr:x>
      <cdr:y>0.82794</cdr:y>
    </cdr:from>
    <cdr:to>
      <cdr:x>0.33516</cdr:x>
      <cdr:y>0.88958</cdr:y>
    </cdr:to>
    <cdr:sp macro="" textlink="">
      <cdr:nvSpPr>
        <cdr:cNvPr id="15" name="TextBox 14"/>
        <cdr:cNvSpPr txBox="1"/>
      </cdr:nvSpPr>
      <cdr:spPr>
        <a:xfrm xmlns:a="http://schemas.openxmlformats.org/drawingml/2006/main">
          <a:off x="598988" y="3360597"/>
          <a:ext cx="1196510" cy="2502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site grid</a:t>
          </a:r>
          <a:r>
            <a:rPr lang="en-US" sz="1000" baseline="0"/>
            <a:t> electricity</a:t>
          </a:r>
          <a:endParaRPr lang="en-US" sz="1000"/>
        </a:p>
      </cdr:txBody>
    </cdr:sp>
  </cdr:relSizeAnchor>
  <cdr:relSizeAnchor xmlns:cdr="http://schemas.openxmlformats.org/drawingml/2006/chartDrawing">
    <cdr:from>
      <cdr:x>0.11044</cdr:x>
      <cdr:y>0.90079</cdr:y>
    </cdr:from>
    <cdr:to>
      <cdr:x>0.38175</cdr:x>
      <cdr:y>0.95098</cdr:y>
    </cdr:to>
    <cdr:sp macro="" textlink="">
      <cdr:nvSpPr>
        <cdr:cNvPr id="16" name="TextBox 15"/>
        <cdr:cNvSpPr txBox="1"/>
      </cdr:nvSpPr>
      <cdr:spPr>
        <a:xfrm xmlns:a="http://schemas.openxmlformats.org/drawingml/2006/main">
          <a:off x="591648" y="3656311"/>
          <a:ext cx="1453428" cy="2037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source grid electricity</a:t>
          </a:r>
        </a:p>
      </cdr:txBody>
    </cdr:sp>
  </cdr:relSizeAnchor>
  <cdr:relSizeAnchor xmlns:cdr="http://schemas.openxmlformats.org/drawingml/2006/chartDrawing">
    <cdr:from>
      <cdr:x>0.58578</cdr:x>
      <cdr:y>0.84884</cdr:y>
    </cdr:from>
    <cdr:to>
      <cdr:x>0.60354</cdr:x>
      <cdr:y>0.8688</cdr:y>
    </cdr:to>
    <cdr:sp macro="" textlink="">
      <cdr:nvSpPr>
        <cdr:cNvPr id="18" name="Rectangle 17"/>
        <cdr:cNvSpPr/>
      </cdr:nvSpPr>
      <cdr:spPr>
        <a:xfrm xmlns:a="http://schemas.openxmlformats.org/drawingml/2006/main">
          <a:off x="3138085" y="3445455"/>
          <a:ext cx="95154" cy="81000"/>
        </a:xfrm>
        <a:prstGeom xmlns:a="http://schemas.openxmlformats.org/drawingml/2006/main" prst="rect">
          <a:avLst/>
        </a:prstGeom>
        <a:solidFill xmlns:a="http://schemas.openxmlformats.org/drawingml/2006/main">
          <a:srgbClr val="00B050"/>
        </a:solidFill>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0.37627</cdr:x>
      <cdr:y>0.82632</cdr:y>
    </cdr:from>
    <cdr:to>
      <cdr:x>0.57358</cdr:x>
      <cdr:y>0.89298</cdr:y>
    </cdr:to>
    <cdr:sp macro="" textlink="">
      <cdr:nvSpPr>
        <cdr:cNvPr id="20" name="TextBox 19"/>
        <cdr:cNvSpPr txBox="1"/>
      </cdr:nvSpPr>
      <cdr:spPr>
        <a:xfrm xmlns:a="http://schemas.openxmlformats.org/drawingml/2006/main">
          <a:off x="2015715" y="3204484"/>
          <a:ext cx="1057039" cy="2585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site natural</a:t>
          </a:r>
          <a:r>
            <a:rPr lang="en-US" sz="1000" baseline="0"/>
            <a:t> gas</a:t>
          </a:r>
          <a:endParaRPr lang="en-US" sz="1000"/>
        </a:p>
      </cdr:txBody>
    </cdr:sp>
  </cdr:relSizeAnchor>
  <cdr:relSizeAnchor xmlns:cdr="http://schemas.openxmlformats.org/drawingml/2006/chartDrawing">
    <cdr:from>
      <cdr:x>0.37694</cdr:x>
      <cdr:y>0.89762</cdr:y>
    </cdr:from>
    <cdr:to>
      <cdr:x>0.58903</cdr:x>
      <cdr:y>0.96633</cdr:y>
    </cdr:to>
    <cdr:sp macro="" textlink="">
      <cdr:nvSpPr>
        <cdr:cNvPr id="21" name="TextBox 20"/>
        <cdr:cNvSpPr txBox="1"/>
      </cdr:nvSpPr>
      <cdr:spPr>
        <a:xfrm xmlns:a="http://schemas.openxmlformats.org/drawingml/2006/main">
          <a:off x="2019300" y="3643454"/>
          <a:ext cx="1136197" cy="2789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source natural</a:t>
          </a:r>
          <a:r>
            <a:rPr lang="en-US" sz="1000" baseline="0"/>
            <a:t> gas</a:t>
          </a:r>
          <a:endParaRPr lang="en-US" sz="1000"/>
        </a:p>
      </cdr:txBody>
    </cdr:sp>
  </cdr:relSizeAnchor>
  <cdr:relSizeAnchor xmlns:cdr="http://schemas.openxmlformats.org/drawingml/2006/chartDrawing">
    <cdr:from>
      <cdr:x>0.60681</cdr:x>
      <cdr:y>0.82952</cdr:y>
    </cdr:from>
    <cdr:to>
      <cdr:x>0.93447</cdr:x>
      <cdr:y>0.8947</cdr:y>
    </cdr:to>
    <cdr:sp macro="" textlink="">
      <cdr:nvSpPr>
        <cdr:cNvPr id="22" name="TextBox 21"/>
        <cdr:cNvSpPr txBox="1"/>
      </cdr:nvSpPr>
      <cdr:spPr>
        <a:xfrm xmlns:a="http://schemas.openxmlformats.org/drawingml/2006/main">
          <a:off x="3250746" y="3367025"/>
          <a:ext cx="1755321" cy="2645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on-site generated</a:t>
          </a:r>
          <a:r>
            <a:rPr lang="en-US" sz="1000" baseline="0"/>
            <a:t> electricity</a:t>
          </a:r>
          <a:endParaRPr lang="en-US" sz="1000"/>
        </a:p>
      </cdr:txBody>
    </cdr:sp>
  </cdr:relSizeAnchor>
  <cdr:relSizeAnchor xmlns:cdr="http://schemas.openxmlformats.org/drawingml/2006/chartDrawing">
    <cdr:from>
      <cdr:x>0.34967</cdr:x>
      <cdr:y>0.84821</cdr:y>
    </cdr:from>
    <cdr:to>
      <cdr:x>0.36743</cdr:x>
      <cdr:y>0.86816</cdr:y>
    </cdr:to>
    <cdr:sp macro="" textlink="">
      <cdr:nvSpPr>
        <cdr:cNvPr id="23" name="Rectangle 22"/>
        <cdr:cNvSpPr/>
      </cdr:nvSpPr>
      <cdr:spPr>
        <a:xfrm xmlns:a="http://schemas.openxmlformats.org/drawingml/2006/main">
          <a:off x="1873221" y="3442883"/>
          <a:ext cx="95153" cy="81000"/>
        </a:xfrm>
        <a:prstGeom xmlns:a="http://schemas.openxmlformats.org/drawingml/2006/main" prst="rect">
          <a:avLst/>
        </a:prstGeom>
        <a:solidFill xmlns:a="http://schemas.openxmlformats.org/drawingml/2006/main">
          <a:schemeClr val="accent1">
            <a:lumMod val="60000"/>
            <a:lumOff val="40000"/>
          </a:schemeClr>
        </a:solidFill>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0.34967</cdr:x>
      <cdr:y>0.92138</cdr:y>
    </cdr:from>
    <cdr:to>
      <cdr:x>0.36743</cdr:x>
      <cdr:y>0.94133</cdr:y>
    </cdr:to>
    <cdr:sp macro="" textlink="">
      <cdr:nvSpPr>
        <cdr:cNvPr id="24" name="Rectangle 23"/>
        <cdr:cNvSpPr/>
      </cdr:nvSpPr>
      <cdr:spPr>
        <a:xfrm xmlns:a="http://schemas.openxmlformats.org/drawingml/2006/main">
          <a:off x="1873221" y="3739884"/>
          <a:ext cx="95153" cy="81000"/>
        </a:xfrm>
        <a:prstGeom xmlns:a="http://schemas.openxmlformats.org/drawingml/2006/main" prst="rect">
          <a:avLst/>
        </a:prstGeom>
        <a:solidFill xmlns:a="http://schemas.openxmlformats.org/drawingml/2006/main">
          <a:schemeClr val="accent1">
            <a:lumMod val="60000"/>
            <a:lumOff val="40000"/>
          </a:schemeClr>
        </a:solidFill>
        <a:ln xmlns:a="http://schemas.openxmlformats.org/drawingml/2006/main" w="12700">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9.xml><?xml version="1.0" encoding="utf-8"?>
<xdr:wsDr xmlns:xdr="http://schemas.openxmlformats.org/drawingml/2006/spreadsheetDrawing" xmlns:a="http://schemas.openxmlformats.org/drawingml/2006/main">
  <xdr:twoCellAnchor>
    <xdr:from>
      <xdr:col>20</xdr:col>
      <xdr:colOff>43962</xdr:colOff>
      <xdr:row>24</xdr:row>
      <xdr:rowOff>0</xdr:rowOff>
    </xdr:from>
    <xdr:to>
      <xdr:col>27</xdr:col>
      <xdr:colOff>161193</xdr:colOff>
      <xdr:row>38</xdr:row>
      <xdr:rowOff>73270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485775</xdr:colOff>
      <xdr:row>29</xdr:row>
      <xdr:rowOff>85724</xdr:rowOff>
    </xdr:from>
    <xdr:to>
      <xdr:col>20</xdr:col>
      <xdr:colOff>38100</xdr:colOff>
      <xdr:row>54</xdr:row>
      <xdr:rowOff>19050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0.70671</cdr:x>
      <cdr:y>0.03209</cdr:y>
    </cdr:from>
    <cdr:to>
      <cdr:x>0.70723</cdr:x>
      <cdr:y>0.60695</cdr:y>
    </cdr:to>
    <cdr:sp macro="" textlink="">
      <cdr:nvSpPr>
        <cdr:cNvPr id="3" name="Straight Connector 2"/>
        <cdr:cNvSpPr/>
      </cdr:nvSpPr>
      <cdr:spPr>
        <a:xfrm xmlns:a="http://schemas.openxmlformats.org/drawingml/2006/main" flipV="1">
          <a:off x="3319096" y="87934"/>
          <a:ext cx="2444" cy="1575278"/>
        </a:xfrm>
        <a:prstGeom xmlns:a="http://schemas.openxmlformats.org/drawingml/2006/main" prst="line">
          <a:avLst/>
        </a:prstGeom>
        <a:ln xmlns:a="http://schemas.openxmlformats.org/drawingml/2006/main" w="15875">
          <a:solidFill>
            <a:srgbClr val="002060"/>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0.75573</cdr:x>
      <cdr:y>0.05615</cdr:y>
    </cdr:from>
    <cdr:to>
      <cdr:x>0.88348</cdr:x>
      <cdr:y>0.20589</cdr:y>
    </cdr:to>
    <cdr:sp macro="" textlink="">
      <cdr:nvSpPr>
        <cdr:cNvPr id="4" name="TextBox 3"/>
        <cdr:cNvSpPr txBox="1"/>
      </cdr:nvSpPr>
      <cdr:spPr>
        <a:xfrm xmlns:a="http://schemas.openxmlformats.org/drawingml/2006/main">
          <a:off x="3549328" y="153856"/>
          <a:ext cx="599986" cy="4103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electric heating</a:t>
          </a:r>
        </a:p>
      </cdr:txBody>
    </cdr:sp>
  </cdr:relSizeAnchor>
  <cdr:relSizeAnchor xmlns:cdr="http://schemas.openxmlformats.org/drawingml/2006/chartDrawing">
    <cdr:from>
      <cdr:x>0.28113</cdr:x>
      <cdr:y>0.05615</cdr:y>
    </cdr:from>
    <cdr:to>
      <cdr:x>0.55694</cdr:x>
      <cdr:y>0.2246</cdr:y>
    </cdr:to>
    <cdr:sp macro="" textlink="">
      <cdr:nvSpPr>
        <cdr:cNvPr id="5" name="TextBox 4"/>
        <cdr:cNvSpPr txBox="1"/>
      </cdr:nvSpPr>
      <cdr:spPr>
        <a:xfrm xmlns:a="http://schemas.openxmlformats.org/drawingml/2006/main">
          <a:off x="1320343" y="153866"/>
          <a:ext cx="1295368" cy="4615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natural gas or propane</a:t>
          </a:r>
          <a:r>
            <a:rPr lang="en-US" sz="1000" baseline="0"/>
            <a:t> heating</a:t>
          </a:r>
          <a:endParaRPr lang="en-US" sz="1000"/>
        </a:p>
      </cdr:txBody>
    </cdr:sp>
  </cdr:relSizeAnchor>
  <cdr:relSizeAnchor xmlns:cdr="http://schemas.openxmlformats.org/drawingml/2006/chartDrawing">
    <cdr:from>
      <cdr:x>0.00624</cdr:x>
      <cdr:y>3.64928E-7</cdr:y>
    </cdr:from>
    <cdr:to>
      <cdr:x>0.06552</cdr:x>
      <cdr:y>0.75936</cdr:y>
    </cdr:to>
    <cdr:sp macro="" textlink="">
      <cdr:nvSpPr>
        <cdr:cNvPr id="6" name="TextBox 5"/>
        <cdr:cNvSpPr txBox="1"/>
      </cdr:nvSpPr>
      <cdr:spPr>
        <a:xfrm xmlns:a="http://schemas.openxmlformats.org/drawingml/2006/main" rot="16200000">
          <a:off x="-871901" y="901214"/>
          <a:ext cx="2080846" cy="278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site and source kBtu/sf for 6 months</a:t>
          </a:r>
        </a:p>
      </cdr:txBody>
    </cdr:sp>
  </cdr:relSizeAnchor>
</c:userShapes>
</file>

<file path=xl/drawings/drawing21.xml><?xml version="1.0" encoding="utf-8"?>
<xdr:wsDr xmlns:xdr="http://schemas.openxmlformats.org/drawingml/2006/spreadsheetDrawing" xmlns:a="http://schemas.openxmlformats.org/drawingml/2006/main">
  <xdr:twoCellAnchor>
    <xdr:from>
      <xdr:col>3</xdr:col>
      <xdr:colOff>249116</xdr:colOff>
      <xdr:row>26</xdr:row>
      <xdr:rowOff>29308</xdr:rowOff>
    </xdr:from>
    <xdr:to>
      <xdr:col>10</xdr:col>
      <xdr:colOff>161193</xdr:colOff>
      <xdr:row>42</xdr:row>
      <xdr:rowOff>183174</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593480</xdr:colOff>
      <xdr:row>29</xdr:row>
      <xdr:rowOff>7327</xdr:rowOff>
    </xdr:from>
    <xdr:to>
      <xdr:col>17</xdr:col>
      <xdr:colOff>36635</xdr:colOff>
      <xdr:row>42</xdr:row>
      <xdr:rowOff>87925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593481</xdr:colOff>
      <xdr:row>43</xdr:row>
      <xdr:rowOff>102576</xdr:rowOff>
    </xdr:from>
    <xdr:to>
      <xdr:col>16</xdr:col>
      <xdr:colOff>703385</xdr:colOff>
      <xdr:row>56</xdr:row>
      <xdr:rowOff>183173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622788</xdr:colOff>
      <xdr:row>26</xdr:row>
      <xdr:rowOff>14653</xdr:rowOff>
    </xdr:from>
    <xdr:to>
      <xdr:col>39</xdr:col>
      <xdr:colOff>7326</xdr:colOff>
      <xdr:row>43</xdr:row>
      <xdr:rowOff>95248</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512885</xdr:colOff>
      <xdr:row>26</xdr:row>
      <xdr:rowOff>51290</xdr:rowOff>
    </xdr:from>
    <xdr:to>
      <xdr:col>26</xdr:col>
      <xdr:colOff>58616</xdr:colOff>
      <xdr:row>44</xdr:row>
      <xdr:rowOff>65944</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315058</xdr:colOff>
      <xdr:row>59</xdr:row>
      <xdr:rowOff>36635</xdr:rowOff>
    </xdr:from>
    <xdr:to>
      <xdr:col>10</xdr:col>
      <xdr:colOff>227135</xdr:colOff>
      <xdr:row>73</xdr:row>
      <xdr:rowOff>109905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0.70353</cdr:x>
      <cdr:y>0.00458</cdr:y>
    </cdr:from>
    <cdr:to>
      <cdr:x>0.70353</cdr:x>
      <cdr:y>0.69336</cdr:y>
    </cdr:to>
    <cdr:sp macro="" textlink="">
      <cdr:nvSpPr>
        <cdr:cNvPr id="3" name="Straight Connector 2"/>
        <cdr:cNvSpPr/>
      </cdr:nvSpPr>
      <cdr:spPr>
        <a:xfrm xmlns:a="http://schemas.openxmlformats.org/drawingml/2006/main" flipV="1">
          <a:off x="3216519" y="14654"/>
          <a:ext cx="0" cy="2205404"/>
        </a:xfrm>
        <a:prstGeom xmlns:a="http://schemas.openxmlformats.org/drawingml/2006/main" prst="lin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0.29968</cdr:x>
      <cdr:y>0.00458</cdr:y>
    </cdr:from>
    <cdr:to>
      <cdr:x>0.53365</cdr:x>
      <cdr:y>0.16705</cdr:y>
    </cdr:to>
    <cdr:sp macro="" textlink="">
      <cdr:nvSpPr>
        <cdr:cNvPr id="4" name="TextBox 3"/>
        <cdr:cNvSpPr txBox="1"/>
      </cdr:nvSpPr>
      <cdr:spPr>
        <a:xfrm xmlns:a="http://schemas.openxmlformats.org/drawingml/2006/main">
          <a:off x="1370135" y="14654"/>
          <a:ext cx="1069730" cy="5202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050"/>
            <a:t>12 months</a:t>
          </a:r>
        </a:p>
        <a:p xmlns:a="http://schemas.openxmlformats.org/drawingml/2006/main">
          <a:pPr algn="ctr"/>
          <a:r>
            <a:rPr lang="en-US" sz="1050"/>
            <a:t>(Aug 11 - Jul 12</a:t>
          </a:r>
        </a:p>
      </cdr:txBody>
    </cdr:sp>
  </cdr:relSizeAnchor>
  <cdr:relSizeAnchor xmlns:cdr="http://schemas.openxmlformats.org/drawingml/2006/chartDrawing">
    <cdr:from>
      <cdr:x>0.70673</cdr:x>
      <cdr:y>0.00915</cdr:y>
    </cdr:from>
    <cdr:to>
      <cdr:x>0.96795</cdr:x>
      <cdr:y>0.14188</cdr:y>
    </cdr:to>
    <cdr:sp macro="" textlink="">
      <cdr:nvSpPr>
        <cdr:cNvPr id="5" name="TextBox 4"/>
        <cdr:cNvSpPr txBox="1"/>
      </cdr:nvSpPr>
      <cdr:spPr>
        <a:xfrm xmlns:a="http://schemas.openxmlformats.org/drawingml/2006/main">
          <a:off x="3231173" y="29308"/>
          <a:ext cx="1194289" cy="4249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050"/>
            <a:t>6 months</a:t>
          </a:r>
        </a:p>
        <a:p xmlns:a="http://schemas.openxmlformats.org/drawingml/2006/main">
          <a:pPr algn="ctr"/>
          <a:r>
            <a:rPr lang="en-US" sz="1050"/>
            <a:t>(Feb 12 - Jul 12)</a:t>
          </a:r>
        </a:p>
      </cdr:txBody>
    </cdr:sp>
  </cdr:relSizeAnchor>
</c:userShapes>
</file>

<file path=xl/drawings/drawing23.xml><?xml version="1.0" encoding="utf-8"?>
<c:userShapes xmlns:c="http://schemas.openxmlformats.org/drawingml/2006/chart">
  <cdr:relSizeAnchor xmlns:cdr="http://schemas.openxmlformats.org/drawingml/2006/chartDrawing">
    <cdr:from>
      <cdr:x>0.00481</cdr:x>
      <cdr:y>0</cdr:y>
    </cdr:from>
    <cdr:to>
      <cdr:x>0.07051</cdr:x>
      <cdr:y>0.71658</cdr:y>
    </cdr:to>
    <cdr:sp macro="" textlink="">
      <cdr:nvSpPr>
        <cdr:cNvPr id="2" name="TextBox 1"/>
        <cdr:cNvSpPr txBox="1"/>
      </cdr:nvSpPr>
      <cdr:spPr>
        <a:xfrm xmlns:a="http://schemas.openxmlformats.org/drawingml/2006/main" rot="16200000">
          <a:off x="-809620" y="831606"/>
          <a:ext cx="1963616" cy="3004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6 month H/C source kBtu/sf</a:t>
          </a:r>
        </a:p>
      </cdr:txBody>
    </cdr:sp>
  </cdr:relSizeAnchor>
  <cdr:relSizeAnchor xmlns:cdr="http://schemas.openxmlformats.org/drawingml/2006/chartDrawing">
    <cdr:from>
      <cdr:x>0.79887</cdr:x>
      <cdr:y>0.87714</cdr:y>
    </cdr:from>
    <cdr:to>
      <cdr:x>0.99038</cdr:x>
      <cdr:y>0.97874</cdr:y>
    </cdr:to>
    <cdr:sp macro="" textlink="">
      <cdr:nvSpPr>
        <cdr:cNvPr id="3" name="TextBox 2"/>
        <cdr:cNvSpPr txBox="1"/>
      </cdr:nvSpPr>
      <cdr:spPr>
        <a:xfrm xmlns:a="http://schemas.openxmlformats.org/drawingml/2006/main">
          <a:off x="3113943" y="2242933"/>
          <a:ext cx="746483" cy="259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ACH 50</a:t>
          </a:r>
        </a:p>
      </cdr:txBody>
    </cdr:sp>
  </cdr:relSizeAnchor>
  <cdr:relSizeAnchor xmlns:cdr="http://schemas.openxmlformats.org/drawingml/2006/chartDrawing">
    <cdr:from>
      <cdr:x>0.77243</cdr:x>
      <cdr:y>0.31818</cdr:y>
    </cdr:from>
    <cdr:to>
      <cdr:x>0.96804</cdr:x>
      <cdr:y>0.40909</cdr:y>
    </cdr:to>
    <cdr:sp macro="" textlink="">
      <cdr:nvSpPr>
        <cdr:cNvPr id="4" name="TextBox 3"/>
        <cdr:cNvSpPr txBox="1"/>
      </cdr:nvSpPr>
      <cdr:spPr>
        <a:xfrm xmlns:a="http://schemas.openxmlformats.org/drawingml/2006/main">
          <a:off x="3010872" y="813617"/>
          <a:ext cx="762493" cy="2324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Arlington</a:t>
          </a:r>
        </a:p>
      </cdr:txBody>
    </cdr:sp>
  </cdr:relSizeAnchor>
  <cdr:relSizeAnchor xmlns:cdr="http://schemas.openxmlformats.org/drawingml/2006/chartDrawing">
    <cdr:from>
      <cdr:x>0.44551</cdr:x>
      <cdr:y>0.3125</cdr:y>
    </cdr:from>
    <cdr:to>
      <cdr:x>0.62218</cdr:x>
      <cdr:y>0.40341</cdr:y>
    </cdr:to>
    <cdr:sp macro="" textlink="">
      <cdr:nvSpPr>
        <cdr:cNvPr id="5" name="TextBox 4"/>
        <cdr:cNvSpPr txBox="1"/>
      </cdr:nvSpPr>
      <cdr:spPr>
        <a:xfrm xmlns:a="http://schemas.openxmlformats.org/drawingml/2006/main">
          <a:off x="1736564" y="799093"/>
          <a:ext cx="688648" cy="2324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Newton</a:t>
          </a:r>
        </a:p>
      </cdr:txBody>
    </cdr:sp>
  </cdr:relSizeAnchor>
  <cdr:relSizeAnchor xmlns:cdr="http://schemas.openxmlformats.org/drawingml/2006/chartDrawing">
    <cdr:from>
      <cdr:x>0.2516</cdr:x>
      <cdr:y>0.12288</cdr:y>
    </cdr:from>
    <cdr:to>
      <cdr:x>0.44551</cdr:x>
      <cdr:y>0.22181</cdr:y>
    </cdr:to>
    <cdr:sp macro="" textlink="">
      <cdr:nvSpPr>
        <cdr:cNvPr id="6" name="TextBox 5"/>
        <cdr:cNvSpPr txBox="1"/>
      </cdr:nvSpPr>
      <cdr:spPr>
        <a:xfrm xmlns:a="http://schemas.openxmlformats.org/drawingml/2006/main">
          <a:off x="980718" y="314216"/>
          <a:ext cx="755846" cy="2529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Millbury</a:t>
          </a:r>
        </a:p>
      </cdr:txBody>
    </cdr:sp>
  </cdr:relSizeAnchor>
  <cdr:relSizeAnchor xmlns:cdr="http://schemas.openxmlformats.org/drawingml/2006/chartDrawing">
    <cdr:from>
      <cdr:x>0.22917</cdr:x>
      <cdr:y>0.21065</cdr:y>
    </cdr:from>
    <cdr:to>
      <cdr:x>0.42669</cdr:x>
      <cdr:y>0.28284</cdr:y>
    </cdr:to>
    <cdr:sp macro="" textlink="">
      <cdr:nvSpPr>
        <cdr:cNvPr id="7" name="TextBox 6"/>
        <cdr:cNvSpPr txBox="1"/>
      </cdr:nvSpPr>
      <cdr:spPr>
        <a:xfrm xmlns:a="http://schemas.openxmlformats.org/drawingml/2006/main">
          <a:off x="893286" y="538653"/>
          <a:ext cx="769925" cy="1845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Westford</a:t>
          </a:r>
        </a:p>
      </cdr:txBody>
    </cdr:sp>
  </cdr:relSizeAnchor>
  <cdr:relSizeAnchor xmlns:cdr="http://schemas.openxmlformats.org/drawingml/2006/chartDrawing">
    <cdr:from>
      <cdr:x>0.34776</cdr:x>
      <cdr:y>0.39642</cdr:y>
    </cdr:from>
    <cdr:to>
      <cdr:x>0.66353</cdr:x>
      <cdr:y>0.49857</cdr:y>
    </cdr:to>
    <cdr:sp macro="" textlink="">
      <cdr:nvSpPr>
        <cdr:cNvPr id="8" name="TextBox 7"/>
        <cdr:cNvSpPr txBox="1"/>
      </cdr:nvSpPr>
      <cdr:spPr>
        <a:xfrm xmlns:a="http://schemas.openxmlformats.org/drawingml/2006/main">
          <a:off x="1355541" y="1013685"/>
          <a:ext cx="1230863" cy="261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Jamaica</a:t>
          </a:r>
          <a:r>
            <a:rPr lang="en-US" sz="1000" baseline="0"/>
            <a:t> Plain</a:t>
          </a:r>
          <a:endParaRPr lang="en-US" sz="1000"/>
        </a:p>
      </cdr:txBody>
    </cdr:sp>
  </cdr:relSizeAnchor>
</c:userShapes>
</file>

<file path=xl/drawings/drawing24.xml><?xml version="1.0" encoding="utf-8"?>
<c:userShapes xmlns:c="http://schemas.openxmlformats.org/drawingml/2006/chart">
  <cdr:relSizeAnchor xmlns:cdr="http://schemas.openxmlformats.org/drawingml/2006/chartDrawing">
    <cdr:from>
      <cdr:x>0.00481</cdr:x>
      <cdr:y>0</cdr:y>
    </cdr:from>
    <cdr:to>
      <cdr:x>0.07051</cdr:x>
      <cdr:y>0.71658</cdr:y>
    </cdr:to>
    <cdr:sp macro="" textlink="">
      <cdr:nvSpPr>
        <cdr:cNvPr id="2" name="TextBox 1"/>
        <cdr:cNvSpPr txBox="1"/>
      </cdr:nvSpPr>
      <cdr:spPr>
        <a:xfrm xmlns:a="http://schemas.openxmlformats.org/drawingml/2006/main" rot="16200000">
          <a:off x="-809620" y="831606"/>
          <a:ext cx="1963616" cy="3004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12 month H/C source kBtu/sf</a:t>
          </a:r>
        </a:p>
      </cdr:txBody>
    </cdr:sp>
  </cdr:relSizeAnchor>
  <cdr:relSizeAnchor xmlns:cdr="http://schemas.openxmlformats.org/drawingml/2006/chartDrawing">
    <cdr:from>
      <cdr:x>0.72916</cdr:x>
      <cdr:y>0.8984</cdr:y>
    </cdr:from>
    <cdr:to>
      <cdr:x>0.93071</cdr:x>
      <cdr:y>1</cdr:y>
    </cdr:to>
    <cdr:sp macro="" textlink="">
      <cdr:nvSpPr>
        <cdr:cNvPr id="3" name="TextBox 2"/>
        <cdr:cNvSpPr txBox="1"/>
      </cdr:nvSpPr>
      <cdr:spPr>
        <a:xfrm xmlns:a="http://schemas.openxmlformats.org/drawingml/2006/main">
          <a:off x="2852897" y="2297296"/>
          <a:ext cx="788584" cy="259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ACH 50</a:t>
          </a:r>
        </a:p>
      </cdr:txBody>
    </cdr:sp>
  </cdr:relSizeAnchor>
  <cdr:relSizeAnchor xmlns:cdr="http://schemas.openxmlformats.org/drawingml/2006/chartDrawing">
    <cdr:from>
      <cdr:x>0.77027</cdr:x>
      <cdr:y>0.2063</cdr:y>
    </cdr:from>
    <cdr:to>
      <cdr:x>0.96718</cdr:x>
      <cdr:y>0.32092</cdr:y>
    </cdr:to>
    <cdr:sp macro="" textlink="">
      <cdr:nvSpPr>
        <cdr:cNvPr id="4" name="TextBox 3"/>
        <cdr:cNvSpPr txBox="1"/>
      </cdr:nvSpPr>
      <cdr:spPr>
        <a:xfrm xmlns:a="http://schemas.openxmlformats.org/drawingml/2006/main">
          <a:off x="2923443" y="527538"/>
          <a:ext cx="747346" cy="2930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Arlington</a:t>
          </a:r>
        </a:p>
      </cdr:txBody>
    </cdr:sp>
  </cdr:relSizeAnchor>
  <cdr:relSizeAnchor xmlns:cdr="http://schemas.openxmlformats.org/drawingml/2006/chartDrawing">
    <cdr:from>
      <cdr:x>0.44595</cdr:x>
      <cdr:y>0.23987</cdr:y>
    </cdr:from>
    <cdr:to>
      <cdr:x>0.62548</cdr:x>
      <cdr:y>0.33077</cdr:y>
    </cdr:to>
    <cdr:sp macro="" textlink="">
      <cdr:nvSpPr>
        <cdr:cNvPr id="5" name="TextBox 4"/>
        <cdr:cNvSpPr txBox="1"/>
      </cdr:nvSpPr>
      <cdr:spPr>
        <a:xfrm xmlns:a="http://schemas.openxmlformats.org/drawingml/2006/main">
          <a:off x="1692519" y="613363"/>
          <a:ext cx="681403" cy="2324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Newton</a:t>
          </a:r>
        </a:p>
      </cdr:txBody>
    </cdr:sp>
  </cdr:relSizeAnchor>
  <cdr:relSizeAnchor xmlns:cdr="http://schemas.openxmlformats.org/drawingml/2006/chartDrawing">
    <cdr:from>
      <cdr:x>0.24903</cdr:x>
      <cdr:y>0.1328</cdr:y>
    </cdr:from>
    <cdr:to>
      <cdr:x>0.4302</cdr:x>
      <cdr:y>0.23173</cdr:y>
    </cdr:to>
    <cdr:sp macro="" textlink="">
      <cdr:nvSpPr>
        <cdr:cNvPr id="6" name="TextBox 5"/>
        <cdr:cNvSpPr txBox="1"/>
      </cdr:nvSpPr>
      <cdr:spPr>
        <a:xfrm xmlns:a="http://schemas.openxmlformats.org/drawingml/2006/main">
          <a:off x="945172" y="339594"/>
          <a:ext cx="687593" cy="2529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Millbury</a:t>
          </a:r>
        </a:p>
      </cdr:txBody>
    </cdr:sp>
  </cdr:relSizeAnchor>
  <cdr:relSizeAnchor xmlns:cdr="http://schemas.openxmlformats.org/drawingml/2006/chartDrawing">
    <cdr:from>
      <cdr:x>0.33383</cdr:x>
      <cdr:y>0.38109</cdr:y>
    </cdr:from>
    <cdr:to>
      <cdr:x>0.61423</cdr:x>
      <cdr:y>0.47289</cdr:y>
    </cdr:to>
    <cdr:sp macro="" textlink="">
      <cdr:nvSpPr>
        <cdr:cNvPr id="8" name="TextBox 7"/>
        <cdr:cNvSpPr txBox="1"/>
      </cdr:nvSpPr>
      <cdr:spPr>
        <a:xfrm xmlns:a="http://schemas.openxmlformats.org/drawingml/2006/main">
          <a:off x="1306123" y="974483"/>
          <a:ext cx="1097108" cy="2347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Jamaica</a:t>
          </a:r>
          <a:r>
            <a:rPr lang="en-US" sz="1000" baseline="0"/>
            <a:t> Plain</a:t>
          </a:r>
          <a:endParaRPr lang="en-US" sz="1000"/>
        </a:p>
      </cdr:txBody>
    </cdr:sp>
  </cdr:relSizeAnchor>
</c:userShapes>
</file>

<file path=xl/drawings/drawing25.xml><?xml version="1.0" encoding="utf-8"?>
<c:userShapes xmlns:c="http://schemas.openxmlformats.org/drawingml/2006/chart">
  <cdr:relSizeAnchor xmlns:cdr="http://schemas.openxmlformats.org/drawingml/2006/chartDrawing">
    <cdr:from>
      <cdr:x>0.02332</cdr:x>
      <cdr:y>0</cdr:y>
    </cdr:from>
    <cdr:to>
      <cdr:x>0.07372</cdr:x>
      <cdr:y>0.59161</cdr:y>
    </cdr:to>
    <cdr:sp macro="" textlink="">
      <cdr:nvSpPr>
        <cdr:cNvPr id="2" name="TextBox 1"/>
        <cdr:cNvSpPr txBox="1"/>
      </cdr:nvSpPr>
      <cdr:spPr>
        <a:xfrm xmlns:a="http://schemas.openxmlformats.org/drawingml/2006/main" rot="16200000">
          <a:off x="-722646" y="847206"/>
          <a:ext cx="1963617" cy="2692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MMBtu for heating</a:t>
          </a:r>
          <a:r>
            <a:rPr lang="en-US" sz="1000" baseline="0"/>
            <a:t> and cooling</a:t>
          </a:r>
          <a:r>
            <a:rPr lang="en-US" sz="1000"/>
            <a:t> </a:t>
          </a:r>
        </a:p>
      </cdr:txBody>
    </cdr:sp>
  </cdr:relSizeAnchor>
  <cdr:relSizeAnchor xmlns:cdr="http://schemas.openxmlformats.org/drawingml/2006/chartDrawing">
    <cdr:from>
      <cdr:x>0.70919</cdr:x>
      <cdr:y>0.00221</cdr:y>
    </cdr:from>
    <cdr:to>
      <cdr:x>0.70919</cdr:x>
      <cdr:y>0.70199</cdr:y>
    </cdr:to>
    <cdr:sp macro="" textlink="">
      <cdr:nvSpPr>
        <cdr:cNvPr id="6" name="Straight Connector 5"/>
        <cdr:cNvSpPr/>
      </cdr:nvSpPr>
      <cdr:spPr>
        <a:xfrm xmlns:a="http://schemas.openxmlformats.org/drawingml/2006/main" flipV="1">
          <a:off x="3788020" y="7327"/>
          <a:ext cx="0" cy="2322635"/>
        </a:xfrm>
        <a:prstGeom xmlns:a="http://schemas.openxmlformats.org/drawingml/2006/main" prst="line">
          <a:avLst/>
        </a:prstGeom>
        <a:ln xmlns:a="http://schemas.openxmlformats.org/drawingml/2006/main" w="1905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0.38409</cdr:x>
      <cdr:y>0.01766</cdr:y>
    </cdr:from>
    <cdr:to>
      <cdr:x>0.66804</cdr:x>
      <cdr:y>0.1479</cdr:y>
    </cdr:to>
    <cdr:sp macro="" textlink="">
      <cdr:nvSpPr>
        <cdr:cNvPr id="7" name="TextBox 6"/>
        <cdr:cNvSpPr txBox="1"/>
      </cdr:nvSpPr>
      <cdr:spPr>
        <a:xfrm xmlns:a="http://schemas.openxmlformats.org/drawingml/2006/main">
          <a:off x="2051539" y="58616"/>
          <a:ext cx="1516673" cy="4322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050"/>
            <a:t>12 months </a:t>
          </a:r>
        </a:p>
        <a:p xmlns:a="http://schemas.openxmlformats.org/drawingml/2006/main">
          <a:pPr algn="ctr"/>
          <a:r>
            <a:rPr lang="en-US" sz="1050"/>
            <a:t>(Aug 11 - Jul</a:t>
          </a:r>
          <a:r>
            <a:rPr lang="en-US" sz="1050" baseline="0"/>
            <a:t> 12)</a:t>
          </a:r>
          <a:endParaRPr lang="en-US" sz="1050"/>
        </a:p>
      </cdr:txBody>
    </cdr:sp>
  </cdr:relSizeAnchor>
  <cdr:relSizeAnchor xmlns:cdr="http://schemas.openxmlformats.org/drawingml/2006/chartDrawing">
    <cdr:from>
      <cdr:x>0.75309</cdr:x>
      <cdr:y>0.01766</cdr:y>
    </cdr:from>
    <cdr:to>
      <cdr:x>0.96022</cdr:x>
      <cdr:y>0.20309</cdr:y>
    </cdr:to>
    <cdr:sp macro="" textlink="">
      <cdr:nvSpPr>
        <cdr:cNvPr id="8" name="TextBox 7"/>
        <cdr:cNvSpPr txBox="1"/>
      </cdr:nvSpPr>
      <cdr:spPr>
        <a:xfrm xmlns:a="http://schemas.openxmlformats.org/drawingml/2006/main">
          <a:off x="4022482" y="58615"/>
          <a:ext cx="1106365" cy="6154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a:t>6 months</a:t>
          </a:r>
        </a:p>
        <a:p xmlns:a="http://schemas.openxmlformats.org/drawingml/2006/main">
          <a:pPr algn="ctr"/>
          <a:r>
            <a:rPr lang="en-US" sz="1100"/>
            <a:t>(Feb 12 - Jul 12)</a:t>
          </a:r>
        </a:p>
      </cdr:txBody>
    </cdr:sp>
  </cdr:relSizeAnchor>
</c:userShapes>
</file>

<file path=xl/drawings/drawing26.xml><?xml version="1.0" encoding="utf-8"?>
<c:userShapes xmlns:c="http://schemas.openxmlformats.org/drawingml/2006/chart">
  <cdr:relSizeAnchor xmlns:cdr="http://schemas.openxmlformats.org/drawingml/2006/chartDrawing">
    <cdr:from>
      <cdr:x>0.00321</cdr:x>
      <cdr:y>0</cdr:y>
    </cdr:from>
    <cdr:to>
      <cdr:x>0.05609</cdr:x>
      <cdr:y>0.67035</cdr:y>
    </cdr:to>
    <cdr:sp macro="" textlink="">
      <cdr:nvSpPr>
        <cdr:cNvPr id="2" name="TextBox 1"/>
        <cdr:cNvSpPr txBox="1"/>
      </cdr:nvSpPr>
      <cdr:spPr>
        <a:xfrm xmlns:a="http://schemas.openxmlformats.org/drawingml/2006/main" rot="16200000">
          <a:off x="-974469" y="989144"/>
          <a:ext cx="2220057" cy="2417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aseline="0"/>
            <a:t>6 &amp; 12 month source kBtu/sf </a:t>
          </a:r>
          <a:endParaRPr lang="en-US" sz="1000"/>
        </a:p>
      </cdr:txBody>
    </cdr:sp>
  </cdr:relSizeAnchor>
  <cdr:relSizeAnchor xmlns:cdr="http://schemas.openxmlformats.org/drawingml/2006/chartDrawing">
    <cdr:from>
      <cdr:x>0.26603</cdr:x>
      <cdr:y>0.00213</cdr:y>
    </cdr:from>
    <cdr:to>
      <cdr:x>0.78846</cdr:x>
      <cdr:y>0.14448</cdr:y>
    </cdr:to>
    <cdr:sp macro="" textlink="">
      <cdr:nvSpPr>
        <cdr:cNvPr id="3" name="TextBox 2"/>
        <cdr:cNvSpPr txBox="1"/>
      </cdr:nvSpPr>
      <cdr:spPr>
        <a:xfrm xmlns:a="http://schemas.openxmlformats.org/drawingml/2006/main">
          <a:off x="1216269" y="7327"/>
          <a:ext cx="2388578" cy="4902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Mean 6 mo</a:t>
          </a:r>
          <a:r>
            <a:rPr lang="en-US" sz="1050" baseline="0"/>
            <a:t> H/C source kBtu/sf: 6.9 </a:t>
          </a:r>
        </a:p>
        <a:p xmlns:a="http://schemas.openxmlformats.org/drawingml/2006/main">
          <a:r>
            <a:rPr lang="en-US" sz="1050" baseline="0"/>
            <a:t>Mean 12 mo H/C source kBtu/sf: 16.6 </a:t>
          </a:r>
          <a:endParaRPr lang="en-US" sz="1050"/>
        </a:p>
      </cdr:txBody>
    </cdr:sp>
  </cdr:relSizeAnchor>
</c:userShapes>
</file>

<file path=xl/drawings/drawing27.xml><?xml version="1.0" encoding="utf-8"?>
<xdr:wsDr xmlns:xdr="http://schemas.openxmlformats.org/drawingml/2006/spreadsheetDrawing" xmlns:a="http://schemas.openxmlformats.org/drawingml/2006/main">
  <xdr:twoCellAnchor>
    <xdr:from>
      <xdr:col>29</xdr:col>
      <xdr:colOff>14655</xdr:colOff>
      <xdr:row>23</xdr:row>
      <xdr:rowOff>175847</xdr:rowOff>
    </xdr:from>
    <xdr:to>
      <xdr:col>37</xdr:col>
      <xdr:colOff>366346</xdr:colOff>
      <xdr:row>41</xdr:row>
      <xdr:rowOff>117232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0.1045</cdr:x>
      <cdr:y>0.00448</cdr:y>
    </cdr:from>
    <cdr:to>
      <cdr:x>0.50926</cdr:x>
      <cdr:y>0.2087</cdr:y>
    </cdr:to>
    <cdr:sp macro="" textlink="">
      <cdr:nvSpPr>
        <cdr:cNvPr id="4" name="TextBox 3"/>
        <cdr:cNvSpPr txBox="1"/>
      </cdr:nvSpPr>
      <cdr:spPr>
        <a:xfrm xmlns:a="http://schemas.openxmlformats.org/drawingml/2006/main">
          <a:off x="578826" y="15113"/>
          <a:ext cx="2242037" cy="6882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000"/>
            <a:t>Chainsaw retrofit </a:t>
          </a:r>
        </a:p>
        <a:p xmlns:a="http://schemas.openxmlformats.org/drawingml/2006/main">
          <a:pPr algn="l"/>
          <a:r>
            <a:rPr lang="en-US" sz="1000"/>
            <a:t>Mean 6 mo H/C source kBtu/ft: </a:t>
          </a:r>
          <a:r>
            <a:rPr lang="en-US" sz="1000" baseline="0"/>
            <a:t>6.85</a:t>
          </a:r>
        </a:p>
        <a:p xmlns:a="http://schemas.openxmlformats.org/drawingml/2006/main">
          <a:pPr algn="l"/>
          <a:r>
            <a:rPr lang="en-US" sz="1000" baseline="0"/>
            <a:t>Mean 12 mo H/C source kBtu/ft: 15.83</a:t>
          </a:r>
          <a:endParaRPr lang="en-US" sz="1000"/>
        </a:p>
      </cdr:txBody>
    </cdr:sp>
  </cdr:relSizeAnchor>
  <cdr:relSizeAnchor xmlns:cdr="http://schemas.openxmlformats.org/drawingml/2006/chartDrawing">
    <cdr:from>
      <cdr:x>0.55971</cdr:x>
      <cdr:y>0.00462</cdr:y>
    </cdr:from>
    <cdr:to>
      <cdr:x>0.97355</cdr:x>
      <cdr:y>0.28342</cdr:y>
    </cdr:to>
    <cdr:sp macro="" textlink="">
      <cdr:nvSpPr>
        <cdr:cNvPr id="5" name="TextBox 4"/>
        <cdr:cNvSpPr txBox="1"/>
      </cdr:nvSpPr>
      <cdr:spPr>
        <a:xfrm xmlns:a="http://schemas.openxmlformats.org/drawingml/2006/main">
          <a:off x="3100312" y="15571"/>
          <a:ext cx="2292323" cy="9396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000"/>
            <a:t>non Chainsaw retrofit</a:t>
          </a:r>
        </a:p>
        <a:p xmlns:a="http://schemas.openxmlformats.org/drawingml/2006/main">
          <a:pPr algn="l"/>
          <a:r>
            <a:rPr lang="en-US" sz="1000" baseline="0"/>
            <a:t>Mean 6 mo H/C source kBtu/ft:7.00</a:t>
          </a:r>
        </a:p>
        <a:p xmlns:a="http://schemas.openxmlformats.org/drawingml/2006/main">
          <a:pPr algn="l"/>
          <a:r>
            <a:rPr lang="en-US" sz="1000" baseline="0"/>
            <a:t>Mean12 mo H/C source kBtu/ft: 17.55</a:t>
          </a:r>
          <a:endParaRPr lang="en-US" sz="1000"/>
        </a:p>
      </cdr:txBody>
    </cdr:sp>
  </cdr:relSizeAnchor>
  <cdr:relSizeAnchor xmlns:cdr="http://schemas.openxmlformats.org/drawingml/2006/chartDrawing">
    <cdr:from>
      <cdr:x>0.01747</cdr:x>
      <cdr:y>0</cdr:y>
    </cdr:from>
    <cdr:to>
      <cdr:x>0.07424</cdr:x>
      <cdr:y>0.65241</cdr:y>
    </cdr:to>
    <cdr:sp macro="" textlink="">
      <cdr:nvSpPr>
        <cdr:cNvPr id="6" name="TextBox 5"/>
        <cdr:cNvSpPr txBox="1"/>
      </cdr:nvSpPr>
      <cdr:spPr>
        <a:xfrm xmlns:a="http://schemas.openxmlformats.org/drawingml/2006/main" rot="16200000">
          <a:off x="-663082" y="751009"/>
          <a:ext cx="1787769" cy="2857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6 &amp; 12</a:t>
          </a:r>
          <a:r>
            <a:rPr lang="en-US" sz="1000" baseline="0"/>
            <a:t> month source kBtu/sf</a:t>
          </a:r>
          <a:endParaRPr lang="en-US" sz="1000"/>
        </a:p>
      </cdr:txBody>
    </cdr:sp>
  </cdr:relSizeAnchor>
  <cdr:relSizeAnchor xmlns:cdr="http://schemas.openxmlformats.org/drawingml/2006/chartDrawing">
    <cdr:from>
      <cdr:x>0</cdr:x>
      <cdr:y>0</cdr:y>
    </cdr:from>
    <cdr:to>
      <cdr:x>0</cdr:x>
      <cdr:y>0</cdr:y>
    </cdr:to>
    <cdr:sp macro="" textlink="">
      <cdr:nvSpPr>
        <cdr:cNvPr id="8" name="Straight Connector 7"/>
        <cdr:cNvSpPr/>
      </cdr:nvSpPr>
      <cdr:spPr>
        <a:xfrm xmlns:a="http://schemas.openxmlformats.org/drawingml/2006/main" flipV="1">
          <a:off x="-19782692" y="-8601808"/>
          <a:ext cx="0" cy="0"/>
        </a:xfrm>
        <a:prstGeom xmlns:a="http://schemas.openxmlformats.org/drawingml/2006/main" prst="lin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0.51346</cdr:x>
      <cdr:y>0.0159</cdr:y>
    </cdr:from>
    <cdr:to>
      <cdr:x>0.51346</cdr:x>
      <cdr:y>0.66948</cdr:y>
    </cdr:to>
    <cdr:sp macro="" textlink="">
      <cdr:nvSpPr>
        <cdr:cNvPr id="10" name="Straight Connector 9"/>
        <cdr:cNvSpPr/>
      </cdr:nvSpPr>
      <cdr:spPr>
        <a:xfrm xmlns:a="http://schemas.openxmlformats.org/drawingml/2006/main" flipV="1">
          <a:off x="2844161" y="53581"/>
          <a:ext cx="0" cy="2202816"/>
        </a:xfrm>
        <a:prstGeom xmlns:a="http://schemas.openxmlformats.org/drawingml/2006/main" prst="lin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9.xml><?xml version="1.0" encoding="utf-8"?>
<xdr:wsDr xmlns:xdr="http://schemas.openxmlformats.org/drawingml/2006/spreadsheetDrawing" xmlns:a="http://schemas.openxmlformats.org/drawingml/2006/main">
  <xdr:twoCellAnchor>
    <xdr:from>
      <xdr:col>28</xdr:col>
      <xdr:colOff>0</xdr:colOff>
      <xdr:row>23</xdr:row>
      <xdr:rowOff>190499</xdr:rowOff>
    </xdr:from>
    <xdr:to>
      <xdr:col>36</xdr:col>
      <xdr:colOff>256442</xdr:colOff>
      <xdr:row>43</xdr:row>
      <xdr:rowOff>131885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0.0085</cdr:x>
      <cdr:y>0.03266</cdr:y>
    </cdr:from>
    <cdr:to>
      <cdr:x>0.04674</cdr:x>
      <cdr:y>0.39302</cdr:y>
    </cdr:to>
    <cdr:sp macro="" textlink="">
      <cdr:nvSpPr>
        <cdr:cNvPr id="2" name="TextBox 1"/>
        <cdr:cNvSpPr txBox="1"/>
      </cdr:nvSpPr>
      <cdr:spPr>
        <a:xfrm xmlns:a="http://schemas.openxmlformats.org/drawingml/2006/main" rot="16200000">
          <a:off x="-622602" y="826284"/>
          <a:ext cx="1616674" cy="257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source MMBtu</a:t>
          </a:r>
        </a:p>
      </cdr:txBody>
    </cdr:sp>
  </cdr:relSizeAnchor>
  <cdr:relSizeAnchor xmlns:cdr="http://schemas.openxmlformats.org/drawingml/2006/chartDrawing">
    <cdr:from>
      <cdr:x>0.31728</cdr:x>
      <cdr:y>0.80122</cdr:y>
    </cdr:from>
    <cdr:to>
      <cdr:x>0.79034</cdr:x>
      <cdr:y>0.94929</cdr:y>
    </cdr:to>
    <cdr:sp macro="" textlink="">
      <cdr:nvSpPr>
        <cdr:cNvPr id="3" name="TextBox 2"/>
        <cdr:cNvSpPr txBox="1"/>
      </cdr:nvSpPr>
      <cdr:spPr>
        <a:xfrm xmlns:a="http://schemas.openxmlformats.org/drawingml/2006/main">
          <a:off x="2191017" y="3762376"/>
          <a:ext cx="3266808" cy="695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Actual pre-retrofit  source energy</a:t>
          </a:r>
          <a:r>
            <a:rPr lang="en-US" sz="1000" baseline="0"/>
            <a:t> use:</a:t>
          </a:r>
        </a:p>
        <a:p xmlns:a="http://schemas.openxmlformats.org/drawingml/2006/main">
          <a:r>
            <a:rPr lang="en-US" sz="1000" baseline="0"/>
            <a:t>Modeled pre-retrofit source energy use:</a:t>
          </a:r>
        </a:p>
        <a:p xmlns:a="http://schemas.openxmlformats.org/drawingml/2006/main">
          <a:r>
            <a:rPr lang="en-US" sz="1000" baseline="0"/>
            <a:t>Post-retrofit source energy use:</a:t>
          </a:r>
          <a:endParaRPr lang="en-US" sz="1000"/>
        </a:p>
      </cdr:txBody>
    </cdr:sp>
  </cdr:relSizeAnchor>
  <cdr:relSizeAnchor xmlns:cdr="http://schemas.openxmlformats.org/drawingml/2006/chartDrawing">
    <cdr:from>
      <cdr:x>0.19972</cdr:x>
      <cdr:y>0.06369</cdr:y>
    </cdr:from>
    <cdr:to>
      <cdr:x>0.73088</cdr:x>
      <cdr:y>0.16136</cdr:y>
    </cdr:to>
    <cdr:sp macro="" textlink="">
      <cdr:nvSpPr>
        <cdr:cNvPr id="6" name="TextBox 5"/>
        <cdr:cNvSpPr txBox="1"/>
      </cdr:nvSpPr>
      <cdr:spPr>
        <a:xfrm xmlns:a="http://schemas.openxmlformats.org/drawingml/2006/main">
          <a:off x="1343047" y="285731"/>
          <a:ext cx="3571865" cy="438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Pre-retrofit</a:t>
          </a:r>
          <a:r>
            <a:rPr lang="en-US" sz="1000" baseline="0"/>
            <a:t>  source energy use is for 12 months:</a:t>
          </a:r>
        </a:p>
        <a:p xmlns:a="http://schemas.openxmlformats.org/drawingml/2006/main">
          <a:r>
            <a:rPr lang="en-US" sz="1000" baseline="0"/>
            <a:t>Post-retrofit source energy use is for 12 months: Aug 11 - Jul 12</a:t>
          </a:r>
          <a:endParaRPr lang="en-US" sz="1000"/>
        </a:p>
      </cdr:txBody>
    </cdr:sp>
  </cdr:relSizeAnchor>
  <cdr:relSizeAnchor xmlns:cdr="http://schemas.openxmlformats.org/drawingml/2006/chartDrawing">
    <cdr:from>
      <cdr:x>0.71955</cdr:x>
      <cdr:y>0.06369</cdr:y>
    </cdr:from>
    <cdr:to>
      <cdr:x>0.99008</cdr:x>
      <cdr:y>0.24841</cdr:y>
    </cdr:to>
    <cdr:sp macro="" textlink="">
      <cdr:nvSpPr>
        <cdr:cNvPr id="7" name="TextBox 6"/>
        <cdr:cNvSpPr txBox="1"/>
      </cdr:nvSpPr>
      <cdr:spPr>
        <a:xfrm xmlns:a="http://schemas.openxmlformats.org/drawingml/2006/main">
          <a:off x="4838722" y="285731"/>
          <a:ext cx="1819219" cy="8287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Pre-retrofit source energy use is for 12 months;</a:t>
          </a:r>
        </a:p>
        <a:p xmlns:a="http://schemas.openxmlformats.org/drawingml/2006/main">
          <a:r>
            <a:rPr lang="en-US" sz="1000"/>
            <a:t>Post-retrofit source energy</a:t>
          </a:r>
          <a:r>
            <a:rPr lang="en-US" sz="1000" baseline="0"/>
            <a:t> use is for 6 months: Feb 12 - Jul 12</a:t>
          </a:r>
          <a:endParaRPr lang="en-US" sz="1000"/>
        </a:p>
      </cdr:txBody>
    </cdr:sp>
  </cdr:relSizeAnchor>
  <cdr:relSizeAnchor xmlns:cdr="http://schemas.openxmlformats.org/drawingml/2006/chartDrawing">
    <cdr:from>
      <cdr:x>0.61812</cdr:x>
      <cdr:y>0.83407</cdr:y>
    </cdr:from>
    <cdr:to>
      <cdr:x>0.74843</cdr:x>
      <cdr:y>0.83407</cdr:y>
    </cdr:to>
    <cdr:sp macro="" textlink="">
      <cdr:nvSpPr>
        <cdr:cNvPr id="9" name="Straight Connector 8"/>
        <cdr:cNvSpPr/>
      </cdr:nvSpPr>
      <cdr:spPr>
        <a:xfrm xmlns:a="http://schemas.openxmlformats.org/drawingml/2006/main">
          <a:off x="4268533" y="3916650"/>
          <a:ext cx="899872" cy="0"/>
        </a:xfrm>
        <a:prstGeom xmlns:a="http://schemas.openxmlformats.org/drawingml/2006/main" prst="line">
          <a:avLst/>
        </a:prstGeom>
        <a:ln xmlns:a="http://schemas.openxmlformats.org/drawingml/2006/main" w="15875">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0.57414</cdr:x>
      <cdr:y>0.89615</cdr:y>
    </cdr:from>
    <cdr:to>
      <cdr:x>0.69878</cdr:x>
      <cdr:y>0.89615</cdr:y>
    </cdr:to>
    <cdr:sp macro="" textlink="">
      <cdr:nvSpPr>
        <cdr:cNvPr id="11" name="Straight Connector 10"/>
        <cdr:cNvSpPr/>
      </cdr:nvSpPr>
      <cdr:spPr>
        <a:xfrm xmlns:a="http://schemas.openxmlformats.org/drawingml/2006/main">
          <a:off x="3964788" y="4208180"/>
          <a:ext cx="860717" cy="0"/>
        </a:xfrm>
        <a:prstGeom xmlns:a="http://schemas.openxmlformats.org/drawingml/2006/main" prst="lin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0.70759</cdr:x>
      <cdr:y>0.0426</cdr:y>
    </cdr:from>
    <cdr:to>
      <cdr:x>0.70759</cdr:x>
      <cdr:y>0.67546</cdr:y>
    </cdr:to>
    <cdr:sp macro="" textlink="">
      <cdr:nvSpPr>
        <cdr:cNvPr id="12" name="Straight Connector 11"/>
        <cdr:cNvSpPr/>
      </cdr:nvSpPr>
      <cdr:spPr>
        <a:xfrm xmlns:a="http://schemas.openxmlformats.org/drawingml/2006/main" flipV="1">
          <a:off x="4886325" y="200026"/>
          <a:ext cx="0" cy="2971800"/>
        </a:xfrm>
        <a:prstGeom xmlns:a="http://schemas.openxmlformats.org/drawingml/2006/main" prst="line">
          <a:avLst/>
        </a:prstGeom>
        <a:ln xmlns:a="http://schemas.openxmlformats.org/drawingml/2006/main" w="1905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0.63744</cdr:x>
      <cdr:y>0.86652</cdr:y>
    </cdr:from>
    <cdr:to>
      <cdr:x>0.76775</cdr:x>
      <cdr:y>0.86652</cdr:y>
    </cdr:to>
    <cdr:sp macro="" textlink="">
      <cdr:nvSpPr>
        <cdr:cNvPr id="13" name="Straight Connector 12"/>
        <cdr:cNvSpPr/>
      </cdr:nvSpPr>
      <cdr:spPr>
        <a:xfrm xmlns:a="http://schemas.openxmlformats.org/drawingml/2006/main">
          <a:off x="4401888" y="4069027"/>
          <a:ext cx="899872" cy="0"/>
        </a:xfrm>
        <a:prstGeom xmlns:a="http://schemas.openxmlformats.org/drawingml/2006/main" prst="line">
          <a:avLst/>
        </a:prstGeom>
        <a:ln xmlns:a="http://schemas.openxmlformats.org/drawingml/2006/main" w="15875">
          <a:solidFill>
            <a:srgbClr val="FF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30.xml><?xml version="1.0" encoding="utf-8"?>
<c:userShapes xmlns:c="http://schemas.openxmlformats.org/drawingml/2006/chart">
  <cdr:relSizeAnchor xmlns:cdr="http://schemas.openxmlformats.org/drawingml/2006/chartDrawing">
    <cdr:from>
      <cdr:x>0.1936</cdr:x>
      <cdr:y>2.66568E-7</cdr:y>
    </cdr:from>
    <cdr:to>
      <cdr:x>0.38301</cdr:x>
      <cdr:y>0.13086</cdr:y>
    </cdr:to>
    <cdr:sp macro="" textlink="">
      <cdr:nvSpPr>
        <cdr:cNvPr id="4" name="TextBox 3"/>
        <cdr:cNvSpPr txBox="1"/>
      </cdr:nvSpPr>
      <cdr:spPr>
        <a:xfrm xmlns:a="http://schemas.openxmlformats.org/drawingml/2006/main">
          <a:off x="1085148" y="1"/>
          <a:ext cx="1061642" cy="4909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000"/>
            <a:t>Insulated</a:t>
          </a:r>
          <a:r>
            <a:rPr lang="en-US" sz="1000" baseline="0"/>
            <a:t> Basement</a:t>
          </a:r>
          <a:endParaRPr lang="en-US" sz="1000"/>
        </a:p>
      </cdr:txBody>
    </cdr:sp>
  </cdr:relSizeAnchor>
  <cdr:relSizeAnchor xmlns:cdr="http://schemas.openxmlformats.org/drawingml/2006/chartDrawing">
    <cdr:from>
      <cdr:x>0.01747</cdr:x>
      <cdr:y>0</cdr:y>
    </cdr:from>
    <cdr:to>
      <cdr:x>0.07424</cdr:x>
      <cdr:y>0.63895</cdr:y>
    </cdr:to>
    <cdr:sp macro="" textlink="">
      <cdr:nvSpPr>
        <cdr:cNvPr id="6" name="TextBox 5"/>
        <cdr:cNvSpPr txBox="1"/>
      </cdr:nvSpPr>
      <cdr:spPr>
        <a:xfrm xmlns:a="http://schemas.openxmlformats.org/drawingml/2006/main" rot="16200000">
          <a:off x="-896969" y="994889"/>
          <a:ext cx="2307982" cy="3182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6 &amp; 12 month source</a:t>
          </a:r>
          <a:r>
            <a:rPr lang="en-US" sz="1000" baseline="0"/>
            <a:t> kBtu/sf</a:t>
          </a:r>
          <a:endParaRPr lang="en-US" sz="1000"/>
        </a:p>
      </cdr:txBody>
    </cdr:sp>
  </cdr:relSizeAnchor>
  <cdr:relSizeAnchor xmlns:cdr="http://schemas.openxmlformats.org/drawingml/2006/chartDrawing">
    <cdr:from>
      <cdr:x>0</cdr:x>
      <cdr:y>0</cdr:y>
    </cdr:from>
    <cdr:to>
      <cdr:x>0</cdr:x>
      <cdr:y>0</cdr:y>
    </cdr:to>
    <cdr:sp macro="" textlink="">
      <cdr:nvSpPr>
        <cdr:cNvPr id="8" name="Straight Connector 7"/>
        <cdr:cNvSpPr/>
      </cdr:nvSpPr>
      <cdr:spPr>
        <a:xfrm xmlns:a="http://schemas.openxmlformats.org/drawingml/2006/main" flipV="1">
          <a:off x="-13796596" y="-8477250"/>
          <a:ext cx="0" cy="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cdr:y>
    </cdr:from>
    <cdr:to>
      <cdr:x>0</cdr:x>
      <cdr:y>0</cdr:y>
    </cdr:to>
    <cdr:sp macro="" textlink="">
      <cdr:nvSpPr>
        <cdr:cNvPr id="10" name="Straight Connector 9"/>
        <cdr:cNvSpPr/>
      </cdr:nvSpPr>
      <cdr:spPr>
        <a:xfrm xmlns:a="http://schemas.openxmlformats.org/drawingml/2006/main" flipV="1">
          <a:off x="-13789269" y="-8506558"/>
          <a:ext cx="0" cy="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0.01747</cdr:x>
      <cdr:y>0</cdr:y>
    </cdr:from>
    <cdr:to>
      <cdr:x>0.17778</cdr:x>
      <cdr:y>0.14188</cdr:y>
    </cdr:to>
    <cdr:sp macro="" textlink="">
      <cdr:nvSpPr>
        <cdr:cNvPr id="12" name="TextBox 11"/>
        <cdr:cNvSpPr txBox="1"/>
      </cdr:nvSpPr>
      <cdr:spPr>
        <a:xfrm xmlns:a="http://schemas.openxmlformats.org/drawingml/2006/main">
          <a:off x="97920" y="0"/>
          <a:ext cx="898541" cy="5124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000"/>
            <a:t>Uninsulated Basement</a:t>
          </a:r>
        </a:p>
      </cdr:txBody>
    </cdr:sp>
  </cdr:relSizeAnchor>
  <cdr:relSizeAnchor xmlns:cdr="http://schemas.openxmlformats.org/drawingml/2006/chartDrawing">
    <cdr:from>
      <cdr:x>0.17322</cdr:x>
      <cdr:y>0.11899</cdr:y>
    </cdr:from>
    <cdr:to>
      <cdr:x>0.47712</cdr:x>
      <cdr:y>0.39588</cdr:y>
    </cdr:to>
    <cdr:sp macro="" textlink="">
      <cdr:nvSpPr>
        <cdr:cNvPr id="14" name="TextBox 13"/>
        <cdr:cNvSpPr txBox="1"/>
      </cdr:nvSpPr>
      <cdr:spPr>
        <a:xfrm xmlns:a="http://schemas.openxmlformats.org/drawingml/2006/main">
          <a:off x="970915" y="446377"/>
          <a:ext cx="1703412" cy="10387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Uninsulated slab</a:t>
          </a:r>
        </a:p>
        <a:p xmlns:a="http://schemas.openxmlformats.org/drawingml/2006/main">
          <a:r>
            <a:rPr lang="en-US" sz="1000"/>
            <a:t>Mean 6</a:t>
          </a:r>
          <a:r>
            <a:rPr lang="en-US" sz="1000" baseline="0"/>
            <a:t> mo H/C source kBtu/sf: 7.58</a:t>
          </a:r>
        </a:p>
        <a:p xmlns:a="http://schemas.openxmlformats.org/drawingml/2006/main">
          <a:r>
            <a:rPr lang="en-US" sz="1000" baseline="0"/>
            <a:t>Mean 12 mo H/C source kBtu/sf: 11.36</a:t>
          </a:r>
          <a:endParaRPr lang="en-US" sz="1000"/>
        </a:p>
      </cdr:txBody>
    </cdr:sp>
  </cdr:relSizeAnchor>
  <cdr:relSizeAnchor xmlns:cdr="http://schemas.openxmlformats.org/drawingml/2006/chartDrawing">
    <cdr:from>
      <cdr:x>0.51383</cdr:x>
      <cdr:y>0.11523</cdr:y>
    </cdr:from>
    <cdr:to>
      <cdr:x>0.91994</cdr:x>
      <cdr:y>0.35011</cdr:y>
    </cdr:to>
    <cdr:sp macro="" textlink="">
      <cdr:nvSpPr>
        <cdr:cNvPr id="15" name="TextBox 14"/>
        <cdr:cNvSpPr txBox="1"/>
      </cdr:nvSpPr>
      <cdr:spPr>
        <a:xfrm xmlns:a="http://schemas.openxmlformats.org/drawingml/2006/main">
          <a:off x="2880067" y="432290"/>
          <a:ext cx="2276296" cy="8811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000"/>
            <a:t>Insulated slab</a:t>
          </a:r>
        </a:p>
        <a:p xmlns:a="http://schemas.openxmlformats.org/drawingml/2006/main">
          <a:r>
            <a:rPr lang="en-US" sz="1000"/>
            <a:t>Mean 6 mo H/C source kBtu/sf: </a:t>
          </a:r>
          <a:r>
            <a:rPr lang="en-US" sz="1000" baseline="0"/>
            <a:t>6.66</a:t>
          </a:r>
        </a:p>
        <a:p xmlns:a="http://schemas.openxmlformats.org/drawingml/2006/main">
          <a:r>
            <a:rPr lang="en-US" sz="1000" baseline="0"/>
            <a:t>Mean 12 mo H/C source kBtu/sf: 16.27</a:t>
          </a:r>
        </a:p>
        <a:p xmlns:a="http://schemas.openxmlformats.org/drawingml/2006/main">
          <a:endParaRPr lang="en-US" sz="1000"/>
        </a:p>
      </cdr:txBody>
    </cdr:sp>
  </cdr:relSizeAnchor>
  <cdr:relSizeAnchor xmlns:cdr="http://schemas.openxmlformats.org/drawingml/2006/chartDrawing">
    <cdr:from>
      <cdr:x>0.37831</cdr:x>
      <cdr:y>0.31643</cdr:y>
    </cdr:from>
    <cdr:to>
      <cdr:x>0.37908</cdr:x>
      <cdr:y>0.70588</cdr:y>
    </cdr:to>
    <cdr:sp macro="" textlink="">
      <cdr:nvSpPr>
        <cdr:cNvPr id="21" name="Straight Connector 20"/>
        <cdr:cNvSpPr/>
      </cdr:nvSpPr>
      <cdr:spPr>
        <a:xfrm xmlns:a="http://schemas.openxmlformats.org/drawingml/2006/main" flipV="1">
          <a:off x="2120454" y="1143000"/>
          <a:ext cx="4353" cy="1406769"/>
        </a:xfrm>
        <a:prstGeom xmlns:a="http://schemas.openxmlformats.org/drawingml/2006/main" prst="line">
          <a:avLst/>
        </a:prstGeom>
        <a:ln xmlns:a="http://schemas.openxmlformats.org/drawingml/2006/main" w="15875">
          <a:solidFill>
            <a:schemeClr val="tx1"/>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0.09753</cdr:x>
      <cdr:y>0.51172</cdr:y>
    </cdr:from>
    <cdr:to>
      <cdr:x>0.18923</cdr:x>
      <cdr:y>0.58398</cdr:y>
    </cdr:to>
    <cdr:sp macro="" textlink="">
      <cdr:nvSpPr>
        <cdr:cNvPr id="22" name="TextBox 21"/>
        <cdr:cNvSpPr txBox="1"/>
      </cdr:nvSpPr>
      <cdr:spPr>
        <a:xfrm xmlns:a="http://schemas.openxmlformats.org/drawingml/2006/main">
          <a:off x="546665" y="1919655"/>
          <a:ext cx="513987" cy="2710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 7.49</a:t>
          </a:r>
        </a:p>
      </cdr:txBody>
    </cdr:sp>
  </cdr:relSizeAnchor>
  <cdr:relSizeAnchor xmlns:cdr="http://schemas.openxmlformats.org/drawingml/2006/chartDrawing">
    <cdr:from>
      <cdr:x>0.17778</cdr:x>
      <cdr:y>0.02434</cdr:y>
    </cdr:from>
    <cdr:to>
      <cdr:x>0.17778</cdr:x>
      <cdr:y>0.70385</cdr:y>
    </cdr:to>
    <cdr:sp macro="" textlink="">
      <cdr:nvSpPr>
        <cdr:cNvPr id="16" name="Straight Connector 15"/>
        <cdr:cNvSpPr/>
      </cdr:nvSpPr>
      <cdr:spPr>
        <a:xfrm xmlns:a="http://schemas.openxmlformats.org/drawingml/2006/main" flipV="1">
          <a:off x="996462" y="87924"/>
          <a:ext cx="0" cy="2454520"/>
        </a:xfrm>
        <a:prstGeom xmlns:a="http://schemas.openxmlformats.org/drawingml/2006/main" prst="lin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0.10196</cdr:x>
      <cdr:y>0.20313</cdr:y>
    </cdr:from>
    <cdr:to>
      <cdr:x>0.19346</cdr:x>
      <cdr:y>0.27148</cdr:y>
    </cdr:to>
    <cdr:sp macro="" textlink="">
      <cdr:nvSpPr>
        <cdr:cNvPr id="18" name="TextBox 17"/>
        <cdr:cNvSpPr txBox="1"/>
      </cdr:nvSpPr>
      <cdr:spPr>
        <a:xfrm xmlns:a="http://schemas.openxmlformats.org/drawingml/2006/main">
          <a:off x="571499" y="762001"/>
          <a:ext cx="512886" cy="2564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24.11</a:t>
          </a:r>
        </a:p>
      </cdr:txBody>
    </cdr:sp>
  </cdr:relSizeAnchor>
</c:userShapes>
</file>

<file path=xl/drawings/drawing31.xml><?xml version="1.0" encoding="utf-8"?>
<xdr:wsDr xmlns:xdr="http://schemas.openxmlformats.org/drawingml/2006/spreadsheetDrawing" xmlns:a="http://schemas.openxmlformats.org/drawingml/2006/main">
  <xdr:twoCellAnchor>
    <xdr:from>
      <xdr:col>30</xdr:col>
      <xdr:colOff>58616</xdr:colOff>
      <xdr:row>26</xdr:row>
      <xdr:rowOff>102576</xdr:rowOff>
    </xdr:from>
    <xdr:to>
      <xdr:col>38</xdr:col>
      <xdr:colOff>322385</xdr:colOff>
      <xdr:row>45</xdr:row>
      <xdr:rowOff>146537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0.78393</cdr:x>
      <cdr:y>0.004</cdr:y>
    </cdr:from>
    <cdr:to>
      <cdr:x>0.99442</cdr:x>
      <cdr:y>0.244</cdr:y>
    </cdr:to>
    <cdr:sp macro="" textlink="">
      <cdr:nvSpPr>
        <cdr:cNvPr id="10" name="TextBox 9"/>
        <cdr:cNvSpPr txBox="1"/>
      </cdr:nvSpPr>
      <cdr:spPr>
        <a:xfrm xmlns:a="http://schemas.openxmlformats.org/drawingml/2006/main">
          <a:off x="4147038" y="14654"/>
          <a:ext cx="1113488" cy="8792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000"/>
            <a:t>Vented attic</a:t>
          </a:r>
        </a:p>
        <a:p xmlns:a="http://schemas.openxmlformats.org/drawingml/2006/main">
          <a:r>
            <a:rPr lang="en-US" sz="1000"/>
            <a:t>Mean</a:t>
          </a:r>
          <a:r>
            <a:rPr lang="en-US" sz="1000" baseline="0"/>
            <a:t> 6 mo H/C source  kBtu/sf:</a:t>
          </a:r>
        </a:p>
        <a:p xmlns:a="http://schemas.openxmlformats.org/drawingml/2006/main">
          <a:r>
            <a:rPr lang="en-US" sz="1000" baseline="0"/>
            <a:t>        6.31 </a:t>
          </a:r>
          <a:r>
            <a:rPr lang="en-US" sz="1000"/>
            <a:t> </a:t>
          </a:r>
        </a:p>
        <a:p xmlns:a="http://schemas.openxmlformats.org/drawingml/2006/main">
          <a:r>
            <a:rPr lang="en-US" sz="1000"/>
            <a:t>Mean 12 mo H/C source kBtu/sf: </a:t>
          </a:r>
        </a:p>
        <a:p xmlns:a="http://schemas.openxmlformats.org/drawingml/2006/main">
          <a:r>
            <a:rPr lang="en-US" sz="1000"/>
            <a:t>       14.60 </a:t>
          </a:r>
        </a:p>
      </cdr:txBody>
    </cdr:sp>
  </cdr:relSizeAnchor>
  <cdr:relSizeAnchor xmlns:cdr="http://schemas.openxmlformats.org/drawingml/2006/chartDrawing">
    <cdr:from>
      <cdr:x>0.47645</cdr:x>
      <cdr:y>0.132</cdr:y>
    </cdr:from>
    <cdr:to>
      <cdr:x>0.80332</cdr:x>
      <cdr:y>0.37272</cdr:y>
    </cdr:to>
    <cdr:sp macro="" textlink="">
      <cdr:nvSpPr>
        <cdr:cNvPr id="11" name="TextBox 10"/>
        <cdr:cNvSpPr txBox="1"/>
      </cdr:nvSpPr>
      <cdr:spPr>
        <a:xfrm xmlns:a="http://schemas.openxmlformats.org/drawingml/2006/main">
          <a:off x="2520462" y="483577"/>
          <a:ext cx="1729154" cy="8818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000"/>
            <a:t>w/ interior insulation:</a:t>
          </a:r>
        </a:p>
        <a:p xmlns:a="http://schemas.openxmlformats.org/drawingml/2006/main">
          <a:r>
            <a:rPr lang="en-US" sz="1000"/>
            <a:t>Mean 6 mo H/C source </a:t>
          </a:r>
          <a:r>
            <a:rPr lang="en-US" sz="1000" baseline="0"/>
            <a:t>         </a:t>
          </a:r>
          <a:r>
            <a:rPr lang="en-US" sz="1000"/>
            <a:t>kBtu/sf: 7.28 </a:t>
          </a:r>
          <a:endParaRPr lang="en-US" sz="1000" baseline="0"/>
        </a:p>
        <a:p xmlns:a="http://schemas.openxmlformats.org/drawingml/2006/main">
          <a:r>
            <a:rPr lang="en-US" sz="1000" baseline="0"/>
            <a:t>Mean 12 mo H/C source kBtu/sf: 18.53 </a:t>
          </a:r>
          <a:endParaRPr lang="en-US" sz="1000"/>
        </a:p>
      </cdr:txBody>
    </cdr:sp>
  </cdr:relSizeAnchor>
  <cdr:relSizeAnchor xmlns:cdr="http://schemas.openxmlformats.org/drawingml/2006/chartDrawing">
    <cdr:from>
      <cdr:x>0.02632</cdr:x>
      <cdr:y>0.134</cdr:y>
    </cdr:from>
    <cdr:to>
      <cdr:x>0.45706</cdr:x>
      <cdr:y>0.354</cdr:y>
    </cdr:to>
    <cdr:sp macro="" textlink="">
      <cdr:nvSpPr>
        <cdr:cNvPr id="12" name="TextBox 11"/>
        <cdr:cNvSpPr txBox="1"/>
      </cdr:nvSpPr>
      <cdr:spPr>
        <a:xfrm xmlns:a="http://schemas.openxmlformats.org/drawingml/2006/main">
          <a:off x="139211" y="490905"/>
          <a:ext cx="2278673" cy="8059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000"/>
            <a:t>w/ exterior insulation:</a:t>
          </a:r>
          <a:endParaRPr lang="en-US" sz="1000" baseline="0"/>
        </a:p>
        <a:p xmlns:a="http://schemas.openxmlformats.org/drawingml/2006/main">
          <a:r>
            <a:rPr lang="en-US" sz="1000" baseline="0"/>
            <a:t>Mean 6 mo H/C source kBtu/sf: 6.85 </a:t>
          </a:r>
        </a:p>
        <a:p xmlns:a="http://schemas.openxmlformats.org/drawingml/2006/main">
          <a:r>
            <a:rPr lang="en-US" sz="1000" baseline="0"/>
            <a:t>Mean 12 mo H/C source kBtu/sf: 15.83</a:t>
          </a:r>
          <a:endParaRPr lang="en-US" sz="1000"/>
        </a:p>
      </cdr:txBody>
    </cdr:sp>
  </cdr:relSizeAnchor>
  <cdr:relSizeAnchor xmlns:cdr="http://schemas.openxmlformats.org/drawingml/2006/chartDrawing">
    <cdr:from>
      <cdr:x>0.01116</cdr:x>
      <cdr:y>0</cdr:y>
    </cdr:from>
    <cdr:to>
      <cdr:x>0.06555</cdr:x>
      <cdr:y>0.808</cdr:y>
    </cdr:to>
    <cdr:sp macro="" textlink="">
      <cdr:nvSpPr>
        <cdr:cNvPr id="13" name="TextBox 12"/>
        <cdr:cNvSpPr txBox="1"/>
      </cdr:nvSpPr>
      <cdr:spPr>
        <a:xfrm xmlns:a="http://schemas.openxmlformats.org/drawingml/2006/main" rot="16200000">
          <a:off x="-1278544" y="1337163"/>
          <a:ext cx="2960076" cy="2857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6 &amp; 12  month</a:t>
          </a:r>
          <a:r>
            <a:rPr lang="en-US" sz="1100" baseline="0"/>
            <a:t> </a:t>
          </a:r>
          <a:r>
            <a:rPr lang="en-US" sz="1100"/>
            <a:t>source kBtu/sf</a:t>
          </a:r>
        </a:p>
      </cdr:txBody>
    </cdr:sp>
  </cdr:relSizeAnchor>
  <cdr:relSizeAnchor xmlns:cdr="http://schemas.openxmlformats.org/drawingml/2006/chartDrawing">
    <cdr:from>
      <cdr:x>0.78255</cdr:x>
      <cdr:y>0.004</cdr:y>
    </cdr:from>
    <cdr:to>
      <cdr:x>0.7828</cdr:x>
      <cdr:y>0.754</cdr:y>
    </cdr:to>
    <cdr:sp macro="" textlink="">
      <cdr:nvSpPr>
        <cdr:cNvPr id="14" name="Straight Connector 13"/>
        <cdr:cNvSpPr/>
      </cdr:nvSpPr>
      <cdr:spPr>
        <a:xfrm xmlns:a="http://schemas.openxmlformats.org/drawingml/2006/main" flipH="1" flipV="1">
          <a:off x="4139712" y="14654"/>
          <a:ext cx="1347" cy="2747595"/>
        </a:xfrm>
        <a:prstGeom xmlns:a="http://schemas.openxmlformats.org/drawingml/2006/main" prst="lin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cdr:y>
    </cdr:from>
    <cdr:to>
      <cdr:x>0</cdr:x>
      <cdr:y>0</cdr:y>
    </cdr:to>
    <cdr:sp macro="" textlink="">
      <cdr:nvSpPr>
        <cdr:cNvPr id="16" name="Straight Connector 15"/>
        <cdr:cNvSpPr/>
      </cdr:nvSpPr>
      <cdr:spPr>
        <a:xfrm xmlns:a="http://schemas.openxmlformats.org/drawingml/2006/main" flipV="1">
          <a:off x="-20508058" y="-9312518"/>
          <a:ext cx="0" cy="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0.48003</cdr:x>
      <cdr:y>0.228</cdr:y>
    </cdr:from>
    <cdr:to>
      <cdr:x>0.48061</cdr:x>
      <cdr:y>0.752</cdr:y>
    </cdr:to>
    <cdr:sp macro="" textlink="">
      <cdr:nvSpPr>
        <cdr:cNvPr id="18" name="Straight Connector 17"/>
        <cdr:cNvSpPr/>
      </cdr:nvSpPr>
      <cdr:spPr>
        <a:xfrm xmlns:a="http://schemas.openxmlformats.org/drawingml/2006/main" flipV="1">
          <a:off x="2539382" y="835270"/>
          <a:ext cx="3060" cy="1919651"/>
        </a:xfrm>
        <a:prstGeom xmlns:a="http://schemas.openxmlformats.org/drawingml/2006/main" prst="line">
          <a:avLst/>
        </a:prstGeom>
        <a:ln xmlns:a="http://schemas.openxmlformats.org/drawingml/2006/main" w="15875">
          <a:solidFill>
            <a:schemeClr val="tx1"/>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2.72966E-7</cdr:y>
    </cdr:from>
    <cdr:to>
      <cdr:x>0.80055</cdr:x>
      <cdr:y>0.134</cdr:y>
    </cdr:to>
    <cdr:sp macro="" textlink="">
      <cdr:nvSpPr>
        <cdr:cNvPr id="9" name="TextBox 8"/>
        <cdr:cNvSpPr txBox="1"/>
      </cdr:nvSpPr>
      <cdr:spPr>
        <a:xfrm xmlns:a="http://schemas.openxmlformats.org/drawingml/2006/main">
          <a:off x="0" y="1"/>
          <a:ext cx="4234961" cy="4909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000"/>
            <a:t>Unvented</a:t>
          </a:r>
          <a:r>
            <a:rPr lang="en-US" sz="1000" baseline="0"/>
            <a:t> Attic</a:t>
          </a:r>
        </a:p>
        <a:p xmlns:a="http://schemas.openxmlformats.org/drawingml/2006/main">
          <a:r>
            <a:rPr lang="en-US" sz="1000" baseline="0"/>
            <a:t>Mean 6 mo H/C source kBtu/sf: 7.05;  Mean12 mo  H/C source kBtu/sf: 16.84 </a:t>
          </a:r>
          <a:endParaRPr lang="en-US" sz="1000"/>
        </a:p>
      </cdr:txBody>
    </cdr:sp>
  </cdr:relSizeAnchor>
</c:userShapes>
</file>

<file path=xl/drawings/drawing4.xml><?xml version="1.0" encoding="utf-8"?>
<xdr:wsDr xmlns:xdr="http://schemas.openxmlformats.org/drawingml/2006/spreadsheetDrawing" xmlns:a="http://schemas.openxmlformats.org/drawingml/2006/main">
  <xdr:twoCellAnchor>
    <xdr:from>
      <xdr:col>20</xdr:col>
      <xdr:colOff>733425</xdr:colOff>
      <xdr:row>28</xdr:row>
      <xdr:rowOff>133350</xdr:rowOff>
    </xdr:from>
    <xdr:to>
      <xdr:col>32</xdr:col>
      <xdr:colOff>23285</xdr:colOff>
      <xdr:row>51</xdr:row>
      <xdr:rowOff>86783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Straight Connector 5"/>
        <cdr:cNvSpPr/>
      </cdr:nvSpPr>
      <cdr:spPr>
        <a:xfrm xmlns:a="http://schemas.openxmlformats.org/drawingml/2006/main" flipV="1">
          <a:off x="-3400424" y="-7829550"/>
          <a:ext cx="0" cy="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0.78824</cdr:x>
      <cdr:y>0.21167</cdr:y>
    </cdr:from>
    <cdr:to>
      <cdr:x>1</cdr:x>
      <cdr:y>0.42188</cdr:y>
    </cdr:to>
    <cdr:sp macro="" textlink="">
      <cdr:nvSpPr>
        <cdr:cNvPr id="7" name="TextBox 6"/>
        <cdr:cNvSpPr txBox="1"/>
      </cdr:nvSpPr>
      <cdr:spPr>
        <a:xfrm xmlns:a="http://schemas.openxmlformats.org/drawingml/2006/main">
          <a:off x="5334000" y="917596"/>
          <a:ext cx="1432985" cy="9112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70% of the regional household average:</a:t>
          </a:r>
          <a:r>
            <a:rPr lang="en-US" sz="1050" baseline="0"/>
            <a:t> 122 MMBtu/yr source energy</a:t>
          </a:r>
          <a:endParaRPr lang="en-US" sz="1050"/>
        </a:p>
      </cdr:txBody>
    </cdr:sp>
  </cdr:relSizeAnchor>
  <cdr:relSizeAnchor xmlns:cdr="http://schemas.openxmlformats.org/drawingml/2006/chartDrawing">
    <cdr:from>
      <cdr:x>0.78824</cdr:x>
      <cdr:y>0.50537</cdr:y>
    </cdr:from>
    <cdr:to>
      <cdr:x>1</cdr:x>
      <cdr:y>0.79761</cdr:y>
    </cdr:to>
    <cdr:sp macro="" textlink="">
      <cdr:nvSpPr>
        <cdr:cNvPr id="8" name="TextBox 7"/>
        <cdr:cNvSpPr txBox="1"/>
      </cdr:nvSpPr>
      <cdr:spPr>
        <a:xfrm xmlns:a="http://schemas.openxmlformats.org/drawingml/2006/main">
          <a:off x="5333999" y="2190751"/>
          <a:ext cx="1432985" cy="1266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50% of regional household</a:t>
          </a:r>
          <a:r>
            <a:rPr lang="en-US" sz="1050" baseline="0"/>
            <a:t> </a:t>
          </a:r>
          <a:r>
            <a:rPr lang="en-US" sz="1050"/>
            <a:t>average: 87 MMBtu/yr source energy</a:t>
          </a:r>
        </a:p>
      </cdr:txBody>
    </cdr:sp>
  </cdr:relSizeAnchor>
  <cdr:relSizeAnchor xmlns:cdr="http://schemas.openxmlformats.org/drawingml/2006/chartDrawing">
    <cdr:from>
      <cdr:x>0.08762</cdr:x>
      <cdr:y>0.35376</cdr:y>
    </cdr:from>
    <cdr:to>
      <cdr:x>0.75446</cdr:x>
      <cdr:y>0.3545</cdr:y>
    </cdr:to>
    <cdr:sp macro="" textlink="">
      <cdr:nvSpPr>
        <cdr:cNvPr id="34" name="Straight Connector 33"/>
        <cdr:cNvSpPr/>
      </cdr:nvSpPr>
      <cdr:spPr>
        <a:xfrm xmlns:a="http://schemas.openxmlformats.org/drawingml/2006/main" flipV="1">
          <a:off x="592923" y="1533514"/>
          <a:ext cx="4512497" cy="3208"/>
        </a:xfrm>
        <a:prstGeom xmlns:a="http://schemas.openxmlformats.org/drawingml/2006/main" prst="line">
          <a:avLst/>
        </a:prstGeom>
        <a:ln xmlns:a="http://schemas.openxmlformats.org/drawingml/2006/main" w="2540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0.08735</cdr:x>
      <cdr:y>0.21094</cdr:y>
    </cdr:from>
    <cdr:to>
      <cdr:x>0.75305</cdr:x>
      <cdr:y>0.21167</cdr:y>
    </cdr:to>
    <cdr:sp macro="" textlink="">
      <cdr:nvSpPr>
        <cdr:cNvPr id="38" name="Straight Connector 37"/>
        <cdr:cNvSpPr/>
      </cdr:nvSpPr>
      <cdr:spPr>
        <a:xfrm xmlns:a="http://schemas.openxmlformats.org/drawingml/2006/main" flipV="1">
          <a:off x="591080" y="914399"/>
          <a:ext cx="4504795" cy="3155"/>
        </a:xfrm>
        <a:prstGeom xmlns:a="http://schemas.openxmlformats.org/drawingml/2006/main" prst="line">
          <a:avLst/>
        </a:prstGeom>
        <a:ln xmlns:a="http://schemas.openxmlformats.org/drawingml/2006/main" w="2540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0.78261</cdr:x>
      <cdr:y>0.01538</cdr:y>
    </cdr:from>
    <cdr:to>
      <cdr:x>1</cdr:x>
      <cdr:y>0.29663</cdr:y>
    </cdr:to>
    <cdr:sp macro="" textlink="">
      <cdr:nvSpPr>
        <cdr:cNvPr id="39" name="TextBox 38"/>
        <cdr:cNvSpPr txBox="1"/>
      </cdr:nvSpPr>
      <cdr:spPr>
        <a:xfrm xmlns:a="http://schemas.openxmlformats.org/drawingml/2006/main">
          <a:off x="5295900" y="66675"/>
          <a:ext cx="1471085" cy="1219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50"/>
            <a:t>EIA</a:t>
          </a:r>
          <a:r>
            <a:rPr lang="en-US" sz="1050" baseline="0"/>
            <a:t> northeast regional household average: 174 MMBtu/yr source energy</a:t>
          </a:r>
          <a:endParaRPr lang="en-US" sz="1050"/>
        </a:p>
      </cdr:txBody>
    </cdr:sp>
  </cdr:relSizeAnchor>
  <cdr:relSizeAnchor xmlns:cdr="http://schemas.openxmlformats.org/drawingml/2006/chartDrawing">
    <cdr:from>
      <cdr:x>0</cdr:x>
      <cdr:y>0.00842</cdr:y>
    </cdr:from>
    <cdr:to>
      <cdr:x>0.0526</cdr:x>
      <cdr:y>0.64893</cdr:y>
    </cdr:to>
    <cdr:sp macro="" textlink="">
      <cdr:nvSpPr>
        <cdr:cNvPr id="12" name="TextBox 11"/>
        <cdr:cNvSpPr txBox="1"/>
      </cdr:nvSpPr>
      <cdr:spPr>
        <a:xfrm xmlns:a="http://schemas.openxmlformats.org/drawingml/2006/main" rot="16200000">
          <a:off x="-1226336" y="1262836"/>
          <a:ext cx="2776550" cy="3238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 </a:t>
          </a:r>
          <a:r>
            <a:rPr lang="en-US" sz="1000"/>
            <a:t>source MMBtu</a:t>
          </a:r>
          <a:r>
            <a:rPr lang="en-US" sz="1000" baseline="0"/>
            <a:t> per </a:t>
          </a:r>
          <a:r>
            <a:rPr lang="en-US" sz="1000"/>
            <a:t>household/yr</a:t>
          </a:r>
        </a:p>
      </cdr:txBody>
    </cdr:sp>
  </cdr:relSizeAnchor>
  <cdr:relSizeAnchor xmlns:cdr="http://schemas.openxmlformats.org/drawingml/2006/chartDrawing">
    <cdr:from>
      <cdr:x>0.7432</cdr:x>
      <cdr:y>0.05054</cdr:y>
    </cdr:from>
    <cdr:to>
      <cdr:x>0.79105</cdr:x>
      <cdr:y>0.21533</cdr:y>
    </cdr:to>
    <cdr:sp macro="" textlink="">
      <cdr:nvSpPr>
        <cdr:cNvPr id="14" name="Straight Arrow Connector 13"/>
        <cdr:cNvSpPr/>
      </cdr:nvSpPr>
      <cdr:spPr>
        <a:xfrm xmlns:a="http://schemas.openxmlformats.org/drawingml/2006/main" flipH="1">
          <a:off x="5029200" y="219075"/>
          <a:ext cx="323850" cy="714375"/>
        </a:xfrm>
        <a:prstGeom xmlns:a="http://schemas.openxmlformats.org/drawingml/2006/main" prst="straightConnector1">
          <a:avLst/>
        </a:prstGeom>
        <a:ln xmlns:a="http://schemas.openxmlformats.org/drawingml/2006/main" w="1905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0.75586</cdr:x>
      <cdr:y>0.24609</cdr:y>
    </cdr:from>
    <cdr:to>
      <cdr:x>0.79809</cdr:x>
      <cdr:y>0.35376</cdr:y>
    </cdr:to>
    <cdr:sp macro="" textlink="">
      <cdr:nvSpPr>
        <cdr:cNvPr id="16" name="Straight Arrow Connector 15"/>
        <cdr:cNvSpPr/>
      </cdr:nvSpPr>
      <cdr:spPr>
        <a:xfrm xmlns:a="http://schemas.openxmlformats.org/drawingml/2006/main" flipH="1">
          <a:off x="5114925" y="1066784"/>
          <a:ext cx="285738" cy="466741"/>
        </a:xfrm>
        <a:prstGeom xmlns:a="http://schemas.openxmlformats.org/drawingml/2006/main" prst="straightConnector1">
          <a:avLst/>
        </a:prstGeom>
        <a:ln xmlns:a="http://schemas.openxmlformats.org/drawingml/2006/main" w="1905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0.75446</cdr:x>
      <cdr:y>0.45264</cdr:y>
    </cdr:from>
    <cdr:to>
      <cdr:x>0.79528</cdr:x>
      <cdr:y>0.52515</cdr:y>
    </cdr:to>
    <cdr:sp macro="" textlink="">
      <cdr:nvSpPr>
        <cdr:cNvPr id="18" name="Straight Arrow Connector 17"/>
        <cdr:cNvSpPr/>
      </cdr:nvSpPr>
      <cdr:spPr>
        <a:xfrm xmlns:a="http://schemas.openxmlformats.org/drawingml/2006/main" flipH="1" flipV="1">
          <a:off x="5105420" y="1962164"/>
          <a:ext cx="276205" cy="314311"/>
        </a:xfrm>
        <a:prstGeom xmlns:a="http://schemas.openxmlformats.org/drawingml/2006/main" prst="straightConnector1">
          <a:avLst/>
        </a:prstGeom>
        <a:ln xmlns:a="http://schemas.openxmlformats.org/drawingml/2006/main" w="1905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0.08868</cdr:x>
      <cdr:y>0.45044</cdr:y>
    </cdr:from>
    <cdr:to>
      <cdr:x>0.75586</cdr:x>
      <cdr:y>0.45044</cdr:y>
    </cdr:to>
    <cdr:sp macro="" textlink="">
      <cdr:nvSpPr>
        <cdr:cNvPr id="20" name="Straight Connector 19"/>
        <cdr:cNvSpPr/>
      </cdr:nvSpPr>
      <cdr:spPr>
        <a:xfrm xmlns:a="http://schemas.openxmlformats.org/drawingml/2006/main" flipH="1">
          <a:off x="600075" y="1952625"/>
          <a:ext cx="4514850" cy="0"/>
        </a:xfrm>
        <a:prstGeom xmlns:a="http://schemas.openxmlformats.org/drawingml/2006/main" prst="line">
          <a:avLst/>
        </a:prstGeom>
        <a:ln xmlns:a="http://schemas.openxmlformats.org/drawingml/2006/main" w="2540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212875</xdr:colOff>
      <xdr:row>30</xdr:row>
      <xdr:rowOff>42740</xdr:rowOff>
    </xdr:from>
    <xdr:to>
      <xdr:col>16</xdr:col>
      <xdr:colOff>127568</xdr:colOff>
      <xdr:row>51</xdr:row>
      <xdr:rowOff>11455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441575</xdr:colOff>
      <xdr:row>30</xdr:row>
      <xdr:rowOff>74184</xdr:rowOff>
    </xdr:from>
    <xdr:to>
      <xdr:col>30</xdr:col>
      <xdr:colOff>393564</xdr:colOff>
      <xdr:row>49</xdr:row>
      <xdr:rowOff>98868</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0.08848</cdr:x>
      <cdr:y>0.34399</cdr:y>
    </cdr:from>
    <cdr:to>
      <cdr:x>0.1266</cdr:x>
      <cdr:y>0.6647</cdr:y>
    </cdr:to>
    <cdr:sp macro="" textlink="">
      <cdr:nvSpPr>
        <cdr:cNvPr id="2" name="TextBox 1"/>
        <cdr:cNvSpPr txBox="1"/>
      </cdr:nvSpPr>
      <cdr:spPr>
        <a:xfrm xmlns:a="http://schemas.openxmlformats.org/drawingml/2006/main" rot="16200000">
          <a:off x="79895" y="1874857"/>
          <a:ext cx="1272974" cy="2539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site kBtu/sf-year</a:t>
          </a:r>
        </a:p>
      </cdr:txBody>
    </cdr:sp>
  </cdr:relSizeAnchor>
  <cdr:relSizeAnchor xmlns:cdr="http://schemas.openxmlformats.org/drawingml/2006/chartDrawing">
    <cdr:from>
      <cdr:x>0.0992</cdr:x>
      <cdr:y>0.00579</cdr:y>
    </cdr:from>
    <cdr:to>
      <cdr:x>0.41853</cdr:x>
      <cdr:y>0.07442</cdr:y>
    </cdr:to>
    <cdr:sp macro="" textlink="">
      <cdr:nvSpPr>
        <cdr:cNvPr id="11" name="TextBox 10"/>
        <cdr:cNvSpPr txBox="1"/>
      </cdr:nvSpPr>
      <cdr:spPr>
        <a:xfrm xmlns:a="http://schemas.openxmlformats.org/drawingml/2006/main">
          <a:off x="660818" y="22981"/>
          <a:ext cx="2127250" cy="2724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solidFill>
                <a:sysClr val="windowText" lastClr="000000"/>
              </a:solidFill>
            </a:rPr>
            <a:t>2030 Challenge for multifamily</a:t>
          </a:r>
          <a:r>
            <a:rPr lang="en-US" sz="1000">
              <a:solidFill>
                <a:schemeClr val="tx2"/>
              </a:solidFill>
            </a:rPr>
            <a:t>:</a:t>
          </a:r>
        </a:p>
      </cdr:txBody>
    </cdr:sp>
  </cdr:relSizeAnchor>
  <cdr:relSizeAnchor xmlns:cdr="http://schemas.openxmlformats.org/drawingml/2006/chartDrawing">
    <cdr:from>
      <cdr:x>0.22057</cdr:x>
      <cdr:y>0.04216</cdr:y>
    </cdr:from>
    <cdr:to>
      <cdr:x>0.58938</cdr:x>
      <cdr:y>0.15721</cdr:y>
    </cdr:to>
    <cdr:sp macro="" textlink="">
      <cdr:nvSpPr>
        <cdr:cNvPr id="12" name="TextBox 11"/>
        <cdr:cNvSpPr txBox="1"/>
      </cdr:nvSpPr>
      <cdr:spPr>
        <a:xfrm xmlns:a="http://schemas.openxmlformats.org/drawingml/2006/main">
          <a:off x="1469817" y="167341"/>
          <a:ext cx="2457715" cy="456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solidFill>
                <a:sysClr val="windowText" lastClr="000000"/>
              </a:solidFill>
            </a:rPr>
            <a:t>2012 goal: 23.1 site kBtu/sf-year</a:t>
          </a:r>
        </a:p>
        <a:p xmlns:a="http://schemas.openxmlformats.org/drawingml/2006/main">
          <a:r>
            <a:rPr lang="en-US" sz="1000">
              <a:solidFill>
                <a:sysClr val="windowText" lastClr="000000"/>
              </a:solidFill>
            </a:rPr>
            <a:t>2015 goal:</a:t>
          </a:r>
          <a:r>
            <a:rPr lang="en-US" sz="1000" baseline="0">
              <a:solidFill>
                <a:sysClr val="windowText" lastClr="000000"/>
              </a:solidFill>
            </a:rPr>
            <a:t> 17.3 site kBtu/sf-year</a:t>
          </a:r>
          <a:endParaRPr lang="en-US" sz="1000">
            <a:solidFill>
              <a:sysClr val="windowText" lastClr="000000"/>
            </a:solidFill>
          </a:endParaRPr>
        </a:p>
        <a:p xmlns:a="http://schemas.openxmlformats.org/drawingml/2006/main">
          <a:endParaRPr lang="en-US" sz="1000"/>
        </a:p>
      </cdr:txBody>
    </cdr:sp>
  </cdr:relSizeAnchor>
  <cdr:relSizeAnchor xmlns:cdr="http://schemas.openxmlformats.org/drawingml/2006/chartDrawing">
    <cdr:from>
      <cdr:x>0.68424</cdr:x>
      <cdr:y>0.04418</cdr:y>
    </cdr:from>
    <cdr:to>
      <cdr:x>0.96594</cdr:x>
      <cdr:y>0.19354</cdr:y>
    </cdr:to>
    <cdr:sp macro="" textlink="">
      <cdr:nvSpPr>
        <cdr:cNvPr id="13" name="TextBox 12"/>
        <cdr:cNvSpPr txBox="1"/>
      </cdr:nvSpPr>
      <cdr:spPr>
        <a:xfrm xmlns:a="http://schemas.openxmlformats.org/drawingml/2006/main">
          <a:off x="4558130" y="175360"/>
          <a:ext cx="1876545" cy="5928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solidFill>
                <a:sysClr val="windowText" lastClr="000000"/>
              </a:solidFill>
            </a:rPr>
            <a:t>2012 goal: 18.3 site</a:t>
          </a:r>
          <a:r>
            <a:rPr lang="en-US" sz="1000" baseline="0">
              <a:solidFill>
                <a:sysClr val="windowText" lastClr="000000"/>
              </a:solidFill>
            </a:rPr>
            <a:t> kBtu/sf-year</a:t>
          </a:r>
        </a:p>
        <a:p xmlns:a="http://schemas.openxmlformats.org/drawingml/2006/main">
          <a:r>
            <a:rPr lang="en-US" sz="1000" baseline="0">
              <a:solidFill>
                <a:sysClr val="windowText" lastClr="000000"/>
              </a:solidFill>
            </a:rPr>
            <a:t>2015 goal: 13.7 site kBtu/sf-year</a:t>
          </a:r>
          <a:endParaRPr lang="en-US" sz="1000">
            <a:solidFill>
              <a:sysClr val="windowText" lastClr="000000"/>
            </a:solidFill>
          </a:endParaRPr>
        </a:p>
      </cdr:txBody>
    </cdr:sp>
  </cdr:relSizeAnchor>
  <cdr:relSizeAnchor xmlns:cdr="http://schemas.openxmlformats.org/drawingml/2006/chartDrawing">
    <cdr:from>
      <cdr:x>0.19116</cdr:x>
      <cdr:y>0.12607</cdr:y>
    </cdr:from>
    <cdr:to>
      <cdr:x>0.23661</cdr:x>
      <cdr:y>0.44604</cdr:y>
    </cdr:to>
    <cdr:sp macro="" textlink="">
      <cdr:nvSpPr>
        <cdr:cNvPr id="15" name="Straight Arrow Connector 14"/>
        <cdr:cNvSpPr/>
      </cdr:nvSpPr>
      <cdr:spPr>
        <a:xfrm xmlns:a="http://schemas.openxmlformats.org/drawingml/2006/main" flipH="1">
          <a:off x="1335503" y="500411"/>
          <a:ext cx="317501" cy="1270000"/>
        </a:xfrm>
        <a:prstGeom xmlns:a="http://schemas.openxmlformats.org/drawingml/2006/main" prst="straightConnector1">
          <a:avLst/>
        </a:prstGeom>
        <a:ln xmlns:a="http://schemas.openxmlformats.org/drawingml/2006/main" w="1270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0.17557</cdr:x>
      <cdr:y>0.0767</cdr:y>
    </cdr:from>
    <cdr:to>
      <cdr:x>0.23064</cdr:x>
      <cdr:y>0.36119</cdr:y>
    </cdr:to>
    <cdr:sp macro="" textlink="">
      <cdr:nvSpPr>
        <cdr:cNvPr id="17" name="Straight Arrow Connector 16"/>
        <cdr:cNvSpPr/>
      </cdr:nvSpPr>
      <cdr:spPr>
        <a:xfrm xmlns:a="http://schemas.openxmlformats.org/drawingml/2006/main" flipH="1">
          <a:off x="1169951" y="304439"/>
          <a:ext cx="366996" cy="1129196"/>
        </a:xfrm>
        <a:prstGeom xmlns:a="http://schemas.openxmlformats.org/drawingml/2006/main" prst="straightConnector1">
          <a:avLst/>
        </a:prstGeom>
        <a:ln xmlns:a="http://schemas.openxmlformats.org/drawingml/2006/main" w="1270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0.60049</cdr:x>
      <cdr:y>0.07274</cdr:y>
    </cdr:from>
    <cdr:to>
      <cdr:x>0.69492</cdr:x>
      <cdr:y>0.43404</cdr:y>
    </cdr:to>
    <cdr:sp macro="" textlink="">
      <cdr:nvSpPr>
        <cdr:cNvPr id="19" name="Straight Arrow Connector 18"/>
        <cdr:cNvSpPr/>
      </cdr:nvSpPr>
      <cdr:spPr>
        <a:xfrm xmlns:a="http://schemas.openxmlformats.org/drawingml/2006/main" flipH="1">
          <a:off x="4000223" y="288725"/>
          <a:ext cx="629057" cy="1434062"/>
        </a:xfrm>
        <a:prstGeom xmlns:a="http://schemas.openxmlformats.org/drawingml/2006/main" prst="straightConnector1">
          <a:avLst/>
        </a:prstGeom>
        <a:ln xmlns:a="http://schemas.openxmlformats.org/drawingml/2006/main" w="1270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0.60923</cdr:x>
      <cdr:y>0.11979</cdr:y>
    </cdr:from>
    <cdr:to>
      <cdr:x>0.69802</cdr:x>
      <cdr:y>0.52198</cdr:y>
    </cdr:to>
    <cdr:sp macro="" textlink="">
      <cdr:nvSpPr>
        <cdr:cNvPr id="21" name="Straight Arrow Connector 20"/>
        <cdr:cNvSpPr/>
      </cdr:nvSpPr>
      <cdr:spPr>
        <a:xfrm xmlns:a="http://schemas.openxmlformats.org/drawingml/2006/main" flipH="1">
          <a:off x="4058406" y="475459"/>
          <a:ext cx="591495" cy="1596410"/>
        </a:xfrm>
        <a:prstGeom xmlns:a="http://schemas.openxmlformats.org/drawingml/2006/main" prst="straightConnector1">
          <a:avLst/>
        </a:prstGeom>
        <a:ln xmlns:a="http://schemas.openxmlformats.org/drawingml/2006/main" w="1270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0.61518</cdr:x>
      <cdr:y>0.00381</cdr:y>
    </cdr:from>
    <cdr:to>
      <cdr:x>0.99084</cdr:x>
      <cdr:y>0.064</cdr:y>
    </cdr:to>
    <cdr:sp macro="" textlink="">
      <cdr:nvSpPr>
        <cdr:cNvPr id="23" name="TextBox 22"/>
        <cdr:cNvSpPr txBox="1"/>
      </cdr:nvSpPr>
      <cdr:spPr>
        <a:xfrm xmlns:a="http://schemas.openxmlformats.org/drawingml/2006/main">
          <a:off x="4291483" y="14955"/>
          <a:ext cx="2620547" cy="2362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solidFill>
                <a:sysClr val="windowText" lastClr="000000"/>
              </a:solidFill>
            </a:rPr>
            <a:t>2030 Challenge for single</a:t>
          </a:r>
          <a:r>
            <a:rPr lang="en-US" sz="1000" baseline="0">
              <a:solidFill>
                <a:sysClr val="windowText" lastClr="000000"/>
              </a:solidFill>
            </a:rPr>
            <a:t>-family:</a:t>
          </a:r>
          <a:endParaRPr lang="en-US" sz="1000">
            <a:solidFill>
              <a:sysClr val="windowText" lastClr="000000"/>
            </a:solidFill>
          </a:endParaRPr>
        </a:p>
      </cdr:txBody>
    </cdr:sp>
  </cdr:relSizeAnchor>
  <cdr:relSizeAnchor xmlns:cdr="http://schemas.openxmlformats.org/drawingml/2006/chartDrawing">
    <cdr:from>
      <cdr:x>0.3307</cdr:x>
      <cdr:y>0.51974</cdr:y>
    </cdr:from>
    <cdr:to>
      <cdr:x>0.88595</cdr:x>
      <cdr:y>0.51974</cdr:y>
    </cdr:to>
    <cdr:sp macro="" textlink="">
      <cdr:nvSpPr>
        <cdr:cNvPr id="29" name="Straight Connector 28"/>
        <cdr:cNvSpPr/>
      </cdr:nvSpPr>
      <cdr:spPr>
        <a:xfrm xmlns:a="http://schemas.openxmlformats.org/drawingml/2006/main">
          <a:off x="2203716" y="2062964"/>
          <a:ext cx="3700134" cy="0"/>
        </a:xfrm>
        <a:prstGeom xmlns:a="http://schemas.openxmlformats.org/drawingml/2006/main" prst="line">
          <a:avLst/>
        </a:prstGeom>
        <a:ln xmlns:a="http://schemas.openxmlformats.org/drawingml/2006/main" w="190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0.33189</cdr:x>
      <cdr:y>0.43175</cdr:y>
    </cdr:from>
    <cdr:to>
      <cdr:x>0.88595</cdr:x>
      <cdr:y>0.43175</cdr:y>
    </cdr:to>
    <cdr:sp macro="" textlink="">
      <cdr:nvSpPr>
        <cdr:cNvPr id="31" name="Straight Connector 30"/>
        <cdr:cNvSpPr/>
      </cdr:nvSpPr>
      <cdr:spPr>
        <a:xfrm xmlns:a="http://schemas.openxmlformats.org/drawingml/2006/main">
          <a:off x="2211655" y="1713715"/>
          <a:ext cx="3692195" cy="0"/>
        </a:xfrm>
        <a:prstGeom xmlns:a="http://schemas.openxmlformats.org/drawingml/2006/main" prst="line">
          <a:avLst/>
        </a:prstGeom>
        <a:ln xmlns:a="http://schemas.openxmlformats.org/drawingml/2006/main" w="190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0.16814</cdr:x>
      <cdr:y>0.36033</cdr:y>
    </cdr:from>
    <cdr:to>
      <cdr:x>0.33495</cdr:x>
      <cdr:y>0.36033</cdr:y>
    </cdr:to>
    <cdr:sp macro="" textlink="">
      <cdr:nvSpPr>
        <cdr:cNvPr id="33" name="Straight Connector 32"/>
        <cdr:cNvSpPr/>
      </cdr:nvSpPr>
      <cdr:spPr>
        <a:xfrm xmlns:a="http://schemas.openxmlformats.org/drawingml/2006/main">
          <a:off x="1120438" y="1430233"/>
          <a:ext cx="1111628" cy="0"/>
        </a:xfrm>
        <a:prstGeom xmlns:a="http://schemas.openxmlformats.org/drawingml/2006/main" prst="line">
          <a:avLst/>
        </a:prstGeom>
        <a:ln xmlns:a="http://schemas.openxmlformats.org/drawingml/2006/main" w="190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0.16627</cdr:x>
      <cdr:y>0.44604</cdr:y>
    </cdr:from>
    <cdr:to>
      <cdr:x>0.3307</cdr:x>
      <cdr:y>0.44604</cdr:y>
    </cdr:to>
    <cdr:sp macro="" textlink="">
      <cdr:nvSpPr>
        <cdr:cNvPr id="35" name="Straight Connector 34"/>
        <cdr:cNvSpPr/>
      </cdr:nvSpPr>
      <cdr:spPr>
        <a:xfrm xmlns:a="http://schemas.openxmlformats.org/drawingml/2006/main">
          <a:off x="1107968" y="1770410"/>
          <a:ext cx="1095748" cy="0"/>
        </a:xfrm>
        <a:prstGeom xmlns:a="http://schemas.openxmlformats.org/drawingml/2006/main" prst="line">
          <a:avLst/>
        </a:prstGeom>
        <a:ln xmlns:a="http://schemas.openxmlformats.org/drawingml/2006/main" w="1905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8.xml><?xml version="1.0" encoding="utf-8"?>
<c:userShapes xmlns:c="http://schemas.openxmlformats.org/drawingml/2006/chart">
  <cdr:relSizeAnchor xmlns:cdr="http://schemas.openxmlformats.org/drawingml/2006/chartDrawing">
    <cdr:from>
      <cdr:x>0.18969</cdr:x>
      <cdr:y>0.07037</cdr:y>
    </cdr:from>
    <cdr:to>
      <cdr:x>0.33887</cdr:x>
      <cdr:y>0.07238</cdr:y>
    </cdr:to>
    <cdr:sp macro="" textlink="">
      <cdr:nvSpPr>
        <cdr:cNvPr id="3" name="Straight Connector 2"/>
        <cdr:cNvSpPr/>
      </cdr:nvSpPr>
      <cdr:spPr>
        <a:xfrm xmlns:a="http://schemas.openxmlformats.org/drawingml/2006/main">
          <a:off x="1406772" y="256443"/>
          <a:ext cx="1106366" cy="7326"/>
        </a:xfrm>
        <a:prstGeom xmlns:a="http://schemas.openxmlformats.org/drawingml/2006/main" prst="line">
          <a:avLst/>
        </a:prstGeom>
        <a:ln xmlns:a="http://schemas.openxmlformats.org/drawingml/2006/main" w="2540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4.04515E-7</cdr:x>
      <cdr:y>0.09048</cdr:y>
    </cdr:from>
    <cdr:to>
      <cdr:x>0.18178</cdr:x>
      <cdr:y>0.3036</cdr:y>
    </cdr:to>
    <cdr:sp macro="" textlink="">
      <cdr:nvSpPr>
        <cdr:cNvPr id="4" name="TextBox 3"/>
        <cdr:cNvSpPr txBox="1"/>
      </cdr:nvSpPr>
      <cdr:spPr>
        <a:xfrm xmlns:a="http://schemas.openxmlformats.org/drawingml/2006/main">
          <a:off x="3" y="329712"/>
          <a:ext cx="1348154" cy="7766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solidFill>
                <a:sysClr val="windowText" lastClr="000000"/>
              </a:solidFill>
            </a:rPr>
            <a:t>Northeast regional multifamily average:</a:t>
          </a:r>
          <a:r>
            <a:rPr lang="en-US" sz="1000" baseline="0">
              <a:solidFill>
                <a:sysClr val="windowText" lastClr="000000"/>
              </a:solidFill>
            </a:rPr>
            <a:t> 78.8 source kBtu/sf-year</a:t>
          </a:r>
          <a:endParaRPr lang="en-US" sz="1000">
            <a:solidFill>
              <a:sysClr val="windowText" lastClr="000000"/>
            </a:solidFill>
          </a:endParaRPr>
        </a:p>
      </cdr:txBody>
    </cdr:sp>
  </cdr:relSizeAnchor>
  <cdr:relSizeAnchor xmlns:cdr="http://schemas.openxmlformats.org/drawingml/2006/chartDrawing">
    <cdr:from>
      <cdr:x>0.34084</cdr:x>
      <cdr:y>0.15884</cdr:y>
    </cdr:from>
    <cdr:to>
      <cdr:x>0.8279</cdr:x>
      <cdr:y>0.16085</cdr:y>
    </cdr:to>
    <cdr:sp macro="" textlink="">
      <cdr:nvSpPr>
        <cdr:cNvPr id="6" name="Straight Connector 5"/>
        <cdr:cNvSpPr/>
      </cdr:nvSpPr>
      <cdr:spPr>
        <a:xfrm xmlns:a="http://schemas.openxmlformats.org/drawingml/2006/main">
          <a:off x="2527792" y="578827"/>
          <a:ext cx="3612173" cy="7327"/>
        </a:xfrm>
        <a:prstGeom xmlns:a="http://schemas.openxmlformats.org/drawingml/2006/main" prst="line">
          <a:avLst/>
        </a:prstGeom>
        <a:ln xmlns:a="http://schemas.openxmlformats.org/drawingml/2006/main" w="2540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0.83877</cdr:x>
      <cdr:y>0.03418</cdr:y>
    </cdr:from>
    <cdr:to>
      <cdr:x>0.99111</cdr:x>
      <cdr:y>0.27746</cdr:y>
    </cdr:to>
    <cdr:sp macro="" textlink="">
      <cdr:nvSpPr>
        <cdr:cNvPr id="7" name="TextBox 6"/>
        <cdr:cNvSpPr txBox="1"/>
      </cdr:nvSpPr>
      <cdr:spPr>
        <a:xfrm xmlns:a="http://schemas.openxmlformats.org/drawingml/2006/main">
          <a:off x="6220561" y="124556"/>
          <a:ext cx="1129788" cy="8865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solidFill>
                <a:schemeClr val="tx1"/>
              </a:solidFill>
            </a:rPr>
            <a:t>Northeast regional single-family average: 67.5 source kBtu/sf-year</a:t>
          </a:r>
        </a:p>
      </cdr:txBody>
    </cdr:sp>
  </cdr:relSizeAnchor>
  <cdr:relSizeAnchor xmlns:cdr="http://schemas.openxmlformats.org/drawingml/2006/chartDrawing">
    <cdr:from>
      <cdr:x>0</cdr:x>
      <cdr:y>0.4182</cdr:y>
    </cdr:from>
    <cdr:to>
      <cdr:x>0.15412</cdr:x>
      <cdr:y>0.65143</cdr:y>
    </cdr:to>
    <cdr:sp macro="" textlink="">
      <cdr:nvSpPr>
        <cdr:cNvPr id="14" name="TextBox 13"/>
        <cdr:cNvSpPr txBox="1"/>
      </cdr:nvSpPr>
      <cdr:spPr>
        <a:xfrm xmlns:a="http://schemas.openxmlformats.org/drawingml/2006/main">
          <a:off x="0" y="1523999"/>
          <a:ext cx="1143005" cy="8499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solidFill>
                <a:sysClr val="windowText" lastClr="000000"/>
              </a:solidFill>
            </a:rPr>
            <a:t>50% of regional multifamily average source kBtu/sf-year</a:t>
          </a:r>
        </a:p>
      </cdr:txBody>
    </cdr:sp>
  </cdr:relSizeAnchor>
  <cdr:relSizeAnchor xmlns:cdr="http://schemas.openxmlformats.org/drawingml/2006/chartDrawing">
    <cdr:from>
      <cdr:x>0.83778</cdr:x>
      <cdr:y>0.28722</cdr:y>
    </cdr:from>
    <cdr:to>
      <cdr:x>0.99704</cdr:x>
      <cdr:y>0.49661</cdr:y>
    </cdr:to>
    <cdr:sp macro="" textlink="">
      <cdr:nvSpPr>
        <cdr:cNvPr id="15" name="TextBox 14"/>
        <cdr:cNvSpPr txBox="1"/>
      </cdr:nvSpPr>
      <cdr:spPr>
        <a:xfrm xmlns:a="http://schemas.openxmlformats.org/drawingml/2006/main">
          <a:off x="6213234" y="1046681"/>
          <a:ext cx="1181077" cy="7630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solidFill>
                <a:sysClr val="windowText" lastClr="000000"/>
              </a:solidFill>
            </a:rPr>
            <a:t>50% of regional single-family average source</a:t>
          </a:r>
          <a:r>
            <a:rPr lang="en-US" sz="1000" baseline="0">
              <a:solidFill>
                <a:sysClr val="windowText" lastClr="000000"/>
              </a:solidFill>
            </a:rPr>
            <a:t> kBtu/sf-year</a:t>
          </a:r>
          <a:endParaRPr lang="en-US" sz="1000">
            <a:solidFill>
              <a:sysClr val="windowText" lastClr="000000"/>
            </a:solidFill>
          </a:endParaRPr>
        </a:p>
      </cdr:txBody>
    </cdr:sp>
  </cdr:relSizeAnchor>
  <cdr:relSizeAnchor xmlns:cdr="http://schemas.openxmlformats.org/drawingml/2006/chartDrawing">
    <cdr:from>
      <cdr:x>0.12843</cdr:x>
      <cdr:y>0.34984</cdr:y>
    </cdr:from>
    <cdr:to>
      <cdr:x>0.16499</cdr:x>
      <cdr:y>0.74391</cdr:y>
    </cdr:to>
    <cdr:sp macro="" textlink="">
      <cdr:nvSpPr>
        <cdr:cNvPr id="22" name="TextBox 21"/>
        <cdr:cNvSpPr txBox="1"/>
      </cdr:nvSpPr>
      <cdr:spPr>
        <a:xfrm xmlns:a="http://schemas.openxmlformats.org/drawingml/2006/main" rot="16200000">
          <a:off x="370016" y="1857376"/>
          <a:ext cx="1436076" cy="2710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0"/>
            <a:t>source kBtu/sf-yr</a:t>
          </a:r>
        </a:p>
      </cdr:txBody>
    </cdr:sp>
  </cdr:relSizeAnchor>
  <cdr:relSizeAnchor xmlns:cdr="http://schemas.openxmlformats.org/drawingml/2006/chartDrawing">
    <cdr:from>
      <cdr:x>0.82197</cdr:x>
      <cdr:y>0.06836</cdr:y>
    </cdr:from>
    <cdr:to>
      <cdr:x>0.84964</cdr:x>
      <cdr:y>0.16487</cdr:y>
    </cdr:to>
    <cdr:sp macro="" textlink="">
      <cdr:nvSpPr>
        <cdr:cNvPr id="24" name="Straight Arrow Connector 23"/>
        <cdr:cNvSpPr/>
      </cdr:nvSpPr>
      <cdr:spPr>
        <a:xfrm xmlns:a="http://schemas.openxmlformats.org/drawingml/2006/main" flipH="1">
          <a:off x="6096002" y="249116"/>
          <a:ext cx="205153" cy="351692"/>
        </a:xfrm>
        <a:prstGeom xmlns:a="http://schemas.openxmlformats.org/drawingml/2006/main" prst="straightConnector1">
          <a:avLst/>
        </a:prstGeom>
        <a:ln xmlns:a="http://schemas.openxmlformats.org/drawingml/2006/main" w="1270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0.82691</cdr:x>
      <cdr:y>0.32772</cdr:y>
    </cdr:from>
    <cdr:to>
      <cdr:x>0.84667</cdr:x>
      <cdr:y>0.44233</cdr:y>
    </cdr:to>
    <cdr:sp macro="" textlink="">
      <cdr:nvSpPr>
        <cdr:cNvPr id="26" name="Straight Arrow Connector 25"/>
        <cdr:cNvSpPr/>
      </cdr:nvSpPr>
      <cdr:spPr>
        <a:xfrm xmlns:a="http://schemas.openxmlformats.org/drawingml/2006/main" flipH="1">
          <a:off x="6132638" y="1194289"/>
          <a:ext cx="146538" cy="417634"/>
        </a:xfrm>
        <a:prstGeom xmlns:a="http://schemas.openxmlformats.org/drawingml/2006/main" prst="straightConnector1">
          <a:avLst/>
        </a:prstGeom>
        <a:ln xmlns:a="http://schemas.openxmlformats.org/drawingml/2006/main" w="1270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0.14523</cdr:x>
      <cdr:y>0.07439</cdr:y>
    </cdr:from>
    <cdr:to>
      <cdr:x>0.1887</cdr:x>
      <cdr:y>0.12466</cdr:y>
    </cdr:to>
    <cdr:sp macro="" textlink="">
      <cdr:nvSpPr>
        <cdr:cNvPr id="28" name="Straight Arrow Connector 27"/>
        <cdr:cNvSpPr/>
      </cdr:nvSpPr>
      <cdr:spPr>
        <a:xfrm xmlns:a="http://schemas.openxmlformats.org/drawingml/2006/main" flipV="1">
          <a:off x="1077061" y="271095"/>
          <a:ext cx="322384" cy="183173"/>
        </a:xfrm>
        <a:prstGeom xmlns:a="http://schemas.openxmlformats.org/drawingml/2006/main" prst="straightConnector1">
          <a:avLst/>
        </a:prstGeom>
        <a:ln xmlns:a="http://schemas.openxmlformats.org/drawingml/2006/main" w="1270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0.12561</cdr:x>
      <cdr:y>0.40011</cdr:y>
    </cdr:from>
    <cdr:to>
      <cdr:x>0.19067</cdr:x>
      <cdr:y>0.45152</cdr:y>
    </cdr:to>
    <cdr:sp macro="" textlink="">
      <cdr:nvSpPr>
        <cdr:cNvPr id="30" name="Straight Arrow Connector 29"/>
        <cdr:cNvSpPr/>
      </cdr:nvSpPr>
      <cdr:spPr>
        <a:xfrm xmlns:a="http://schemas.openxmlformats.org/drawingml/2006/main" flipV="1">
          <a:off x="937849" y="1458074"/>
          <a:ext cx="485795" cy="187343"/>
        </a:xfrm>
        <a:prstGeom xmlns:a="http://schemas.openxmlformats.org/drawingml/2006/main" prst="straightConnector1">
          <a:avLst/>
        </a:prstGeom>
        <a:ln xmlns:a="http://schemas.openxmlformats.org/drawingml/2006/main" w="1270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0.19067</cdr:x>
      <cdr:y>0.39809</cdr:y>
    </cdr:from>
    <cdr:to>
      <cdr:x>0.33788</cdr:x>
      <cdr:y>0.39809</cdr:y>
    </cdr:to>
    <cdr:sp macro="" textlink="">
      <cdr:nvSpPr>
        <cdr:cNvPr id="36" name="Straight Connector 35"/>
        <cdr:cNvSpPr/>
      </cdr:nvSpPr>
      <cdr:spPr>
        <a:xfrm xmlns:a="http://schemas.openxmlformats.org/drawingml/2006/main">
          <a:off x="1414099" y="1450731"/>
          <a:ext cx="1091712" cy="0"/>
        </a:xfrm>
        <a:prstGeom xmlns:a="http://schemas.openxmlformats.org/drawingml/2006/main" prst="line">
          <a:avLst/>
        </a:prstGeom>
        <a:ln xmlns:a="http://schemas.openxmlformats.org/drawingml/2006/main" w="2540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0.33887</cdr:x>
      <cdr:y>0.44032</cdr:y>
    </cdr:from>
    <cdr:to>
      <cdr:x>0.82988</cdr:x>
      <cdr:y>0.44032</cdr:y>
    </cdr:to>
    <cdr:sp macro="" textlink="">
      <cdr:nvSpPr>
        <cdr:cNvPr id="17" name="Straight Connector 16"/>
        <cdr:cNvSpPr/>
      </cdr:nvSpPr>
      <cdr:spPr>
        <a:xfrm xmlns:a="http://schemas.openxmlformats.org/drawingml/2006/main">
          <a:off x="2513138" y="1604596"/>
          <a:ext cx="3641480" cy="0"/>
        </a:xfrm>
        <a:prstGeom xmlns:a="http://schemas.openxmlformats.org/drawingml/2006/main" prst="line">
          <a:avLst/>
        </a:prstGeom>
        <a:ln xmlns:a="http://schemas.openxmlformats.org/drawingml/2006/main" w="2540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495299</xdr:colOff>
      <xdr:row>24</xdr:row>
      <xdr:rowOff>57150</xdr:rowOff>
    </xdr:from>
    <xdr:to>
      <xdr:col>13</xdr:col>
      <xdr:colOff>523874</xdr:colOff>
      <xdr:row>32</xdr:row>
      <xdr:rowOff>103187</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412526</xdr:colOff>
      <xdr:row>62</xdr:row>
      <xdr:rowOff>33112</xdr:rowOff>
    </xdr:from>
    <xdr:to>
      <xdr:col>11</xdr:col>
      <xdr:colOff>435430</xdr:colOff>
      <xdr:row>77</xdr:row>
      <xdr:rowOff>95250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483055</xdr:colOff>
      <xdr:row>73</xdr:row>
      <xdr:rowOff>110658</xdr:rowOff>
    </xdr:from>
    <xdr:to>
      <xdr:col>23</xdr:col>
      <xdr:colOff>81644</xdr:colOff>
      <xdr:row>101</xdr:row>
      <xdr:rowOff>82642</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27215</xdr:colOff>
      <xdr:row>45</xdr:row>
      <xdr:rowOff>102053</xdr:rowOff>
    </xdr:from>
    <xdr:to>
      <xdr:col>22</xdr:col>
      <xdr:colOff>238125</xdr:colOff>
      <xdr:row>69</xdr:row>
      <xdr:rowOff>189699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uilding%20America/BA%20Communities/MA%20National%20Grid%20Retrofit/01%20-%20Admin/2012%20DER%20Project%20Lis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oject Management"/>
      <sheetName val="Project Statistics"/>
    </sheetNames>
    <sheetDataSet>
      <sheetData sheetId="0">
        <row r="8">
          <cell r="E8">
            <v>21</v>
          </cell>
        </row>
        <row r="12">
          <cell r="B12" t="str">
            <v>Clark</v>
          </cell>
          <cell r="D12">
            <v>1</v>
          </cell>
          <cell r="E12" t="str">
            <v>Wright Builders, LLC</v>
          </cell>
          <cell r="F12" t="str">
            <v>B</v>
          </cell>
          <cell r="G12" t="str">
            <v>Wright Builders, LLC</v>
          </cell>
          <cell r="H12" t="str">
            <v>Belchertown</v>
          </cell>
          <cell r="I12">
            <v>1352</v>
          </cell>
          <cell r="J12" t="str">
            <v>Cape</v>
          </cell>
          <cell r="K12">
            <v>1.5</v>
          </cell>
          <cell r="L12">
            <v>1760</v>
          </cell>
          <cell r="M12" t="str">
            <v>interior SPF, secondary stud wall to interior of post-and-beam, storm windows over existing double Lo-E, much remediation of exterior flashing</v>
          </cell>
          <cell r="N12" t="str">
            <v>Complete</v>
          </cell>
          <cell r="O12" t="str">
            <v>BA Case Study complete</v>
          </cell>
          <cell r="P12">
            <v>40026</v>
          </cell>
          <cell r="Q12">
            <v>40204</v>
          </cell>
          <cell r="S12" t="str">
            <v>KN</v>
          </cell>
          <cell r="V12">
            <v>1</v>
          </cell>
        </row>
        <row r="13">
          <cell r="B13" t="str">
            <v>Brownsberger</v>
          </cell>
          <cell r="D13">
            <v>2</v>
          </cell>
          <cell r="E13" t="str">
            <v>Byggmeister</v>
          </cell>
          <cell r="F13" t="str">
            <v>B</v>
          </cell>
          <cell r="G13" t="str">
            <v>Byggmeister</v>
          </cell>
          <cell r="H13" t="str">
            <v>Belmont</v>
          </cell>
          <cell r="I13">
            <v>2728</v>
          </cell>
          <cell r="J13" t="str">
            <v>2 family</v>
          </cell>
          <cell r="K13">
            <v>3</v>
          </cell>
          <cell r="L13">
            <v>1925</v>
          </cell>
          <cell r="M13" t="str">
            <v>exterior insulating sheathing, face sealed water management, uninsulated basement slab</v>
          </cell>
          <cell r="N13" t="str">
            <v>Complete</v>
          </cell>
          <cell r="O13" t="str">
            <v>BA Case Study complete</v>
          </cell>
          <cell r="P13">
            <v>40277</v>
          </cell>
          <cell r="Q13">
            <v>40444</v>
          </cell>
          <cell r="S13" t="str">
            <v>CG</v>
          </cell>
          <cell r="T13" t="str">
            <v>THC, Schedule final inspection week of 09-13</v>
          </cell>
          <cell r="V13">
            <v>2</v>
          </cell>
        </row>
        <row r="14">
          <cell r="B14" t="str">
            <v>Tweedly</v>
          </cell>
          <cell r="D14">
            <v>1</v>
          </cell>
          <cell r="E14" t="str">
            <v>Synergy</v>
          </cell>
          <cell r="F14" t="str">
            <v>B</v>
          </cell>
          <cell r="G14" t="str">
            <v>Synergy</v>
          </cell>
          <cell r="H14" t="str">
            <v>Millbury</v>
          </cell>
          <cell r="I14">
            <v>1100</v>
          </cell>
          <cell r="J14" t="str">
            <v>Cape</v>
          </cell>
          <cell r="K14">
            <v>1.5</v>
          </cell>
          <cell r="L14">
            <v>1953</v>
          </cell>
          <cell r="M14" t="str">
            <v>exterior insulating sheathing, conditioned basement, ducted minisplit w/ CFIS, pellet stove</v>
          </cell>
          <cell r="N14" t="str">
            <v>Complete</v>
          </cell>
          <cell r="O14" t="str">
            <v>final inspection results sent 2010-12-01, BA case study complete</v>
          </cell>
          <cell r="P14">
            <v>40283</v>
          </cell>
          <cell r="Q14">
            <v>40506</v>
          </cell>
          <cell r="S14" t="str">
            <v>KN</v>
          </cell>
          <cell r="T14" t="str">
            <v>ventilation installation resolved after final inspection. Final blower door test Dec 11, 2010 (?)  Phil returned 2012-05-12 for additional testing</v>
          </cell>
          <cell r="V14">
            <v>3</v>
          </cell>
        </row>
        <row r="15">
          <cell r="B15" t="str">
            <v>Koh</v>
          </cell>
          <cell r="D15">
            <v>1</v>
          </cell>
          <cell r="E15" t="str">
            <v>Boston Green Building</v>
          </cell>
          <cell r="F15" t="str">
            <v>B</v>
          </cell>
          <cell r="G15" t="str">
            <v>Boston Green Building</v>
          </cell>
          <cell r="H15" t="str">
            <v>Milton</v>
          </cell>
          <cell r="I15">
            <v>1600</v>
          </cell>
          <cell r="J15" t="str">
            <v>Garrison Colonial</v>
          </cell>
          <cell r="K15">
            <v>2</v>
          </cell>
          <cell r="L15">
            <v>1960</v>
          </cell>
          <cell r="M15" t="str">
            <v>exterior insulating sheathing on walls, ccSPF under roof
conditioned basemen, HRV integrated with AHU, hydro-air from Vertex water heater</v>
          </cell>
          <cell r="N15" t="str">
            <v>Complete</v>
          </cell>
          <cell r="O15" t="str">
            <v>final inspection results sent 2010-12-27</v>
          </cell>
          <cell r="P15">
            <v>40373</v>
          </cell>
          <cell r="Q15">
            <v>40535</v>
          </cell>
          <cell r="S15" t="str">
            <v>KN</v>
          </cell>
          <cell r="T15" t="str">
            <v>THC candidate. PV, e-monitor</v>
          </cell>
          <cell r="V15">
            <v>4</v>
          </cell>
        </row>
        <row r="16">
          <cell r="B16" t="str">
            <v>Hall</v>
          </cell>
          <cell r="D16">
            <v>1</v>
          </cell>
          <cell r="E16" t="str">
            <v>Timeless Architecture</v>
          </cell>
          <cell r="F16" t="str">
            <v>A</v>
          </cell>
          <cell r="G16" t="str">
            <v>PJ Griffin / Boston Green Building</v>
          </cell>
          <cell r="H16" t="str">
            <v>Quincy</v>
          </cell>
          <cell r="I16">
            <v>1808</v>
          </cell>
          <cell r="J16" t="str">
            <v>bungalow</v>
          </cell>
          <cell r="K16">
            <v>1.5</v>
          </cell>
          <cell r="L16">
            <v>1905</v>
          </cell>
          <cell r="M16" t="str">
            <v xml:space="preserve">ZNE design, exterior insulating sheathing and advanced mechanicals, good continuity of control layers, complicated mechanicals (ASHP, furnace, HT Versa Hydro w/ solar input; Dx coil, HW coil in 3 zone AHU, radiant slab, radiant panels </v>
          </cell>
          <cell r="N16" t="str">
            <v>Complete</v>
          </cell>
          <cell r="O16" t="str">
            <v>final inspection results sent 2011-01-10</v>
          </cell>
          <cell r="P16">
            <v>40338</v>
          </cell>
          <cell r="Q16">
            <v>40550</v>
          </cell>
          <cell r="S16" t="str">
            <v>KN</v>
          </cell>
          <cell r="T16" t="str">
            <v>THC, much discussion on mechanical system, exterior insulation well executed, barely a retrofit with amount of new construction.  Moved into home Dec 23 2010</v>
          </cell>
          <cell r="V16">
            <v>5</v>
          </cell>
        </row>
        <row r="17">
          <cell r="B17" t="str">
            <v>Venable-Hwang</v>
          </cell>
          <cell r="C17" t="str">
            <v>24 Coleman</v>
          </cell>
          <cell r="D17">
            <v>2</v>
          </cell>
          <cell r="E17" t="str">
            <v>Boston Green Building</v>
          </cell>
          <cell r="F17" t="str">
            <v>B</v>
          </cell>
          <cell r="G17" t="str">
            <v>Boston Green Building</v>
          </cell>
          <cell r="H17" t="str">
            <v>Arlington</v>
          </cell>
          <cell r="I17">
            <v>2112</v>
          </cell>
          <cell r="J17" t="str">
            <v>2 family</v>
          </cell>
          <cell r="K17">
            <v>2</v>
          </cell>
          <cell r="L17">
            <v>1910</v>
          </cell>
          <cell r="M17" t="str">
            <v xml:space="preserve"> isolated basement, exterior insulating sheathing, two family, new full 3rd floor and roof, ccSPF roof</v>
          </cell>
          <cell r="N17" t="str">
            <v>Complete</v>
          </cell>
          <cell r="O17" t="str">
            <v>1st application received 06-29.  2nd application review sent 08-24, 
Final BD conducted 04-21</v>
          </cell>
          <cell r="P17">
            <v>40378</v>
          </cell>
          <cell r="Q17">
            <v>40654</v>
          </cell>
          <cell r="S17" t="str">
            <v>KN</v>
          </cell>
          <cell r="T17" t="str">
            <v>Still outstanding 09-02: Manual J corresponding to building and distribution design basis
NEEDS FINAL BD report to National Grid</v>
          </cell>
          <cell r="V17">
            <v>6</v>
          </cell>
        </row>
        <row r="18">
          <cell r="B18" t="str">
            <v>Lavine</v>
          </cell>
          <cell r="D18">
            <v>1</v>
          </cell>
          <cell r="E18" t="str">
            <v>Vahe Ohannessian</v>
          </cell>
          <cell r="F18" t="str">
            <v>B</v>
          </cell>
          <cell r="G18" t="str">
            <v>V.O.Design Build</v>
          </cell>
          <cell r="H18" t="str">
            <v>Newton</v>
          </cell>
          <cell r="I18">
            <v>1724</v>
          </cell>
          <cell r="J18" t="str">
            <v>Colonial</v>
          </cell>
          <cell r="K18">
            <v>1</v>
          </cell>
          <cell r="L18">
            <v>1930</v>
          </cell>
          <cell r="M18" t="str">
            <v>Retrofit of basement (conditioned living space) + enclosure DER, windows and doors were replaced</v>
          </cell>
          <cell r="N18" t="str">
            <v>Complete</v>
          </cell>
          <cell r="O18" t="str">
            <v>Excel spreadsheet for 1st application received 2010-12-16 but no photos or Part A, 2nd application review 2011-03-20</v>
          </cell>
          <cell r="P18">
            <v>40501</v>
          </cell>
          <cell r="Q18">
            <v>40695</v>
          </cell>
          <cell r="S18" t="str">
            <v>HW</v>
          </cell>
          <cell r="T18" t="str">
            <v>New basement slab poured before 1st application -- to be documented by photos; blower door test by others (11/19); plan THC.  Retested by PK, HW 2011-07-27</v>
          </cell>
          <cell r="V18">
            <v>7</v>
          </cell>
        </row>
        <row r="19">
          <cell r="B19" t="str">
            <v>Buhs</v>
          </cell>
          <cell r="D19">
            <v>3</v>
          </cell>
          <cell r="E19" t="str">
            <v>Byggmeister</v>
          </cell>
          <cell r="F19" t="str">
            <v>B</v>
          </cell>
          <cell r="G19" t="str">
            <v>Byggmeister</v>
          </cell>
          <cell r="H19" t="str">
            <v>Jamaica Plain</v>
          </cell>
          <cell r="I19">
            <v>3885</v>
          </cell>
          <cell r="J19" t="str">
            <v>3-family</v>
          </cell>
          <cell r="K19">
            <v>3</v>
          </cell>
          <cell r="L19">
            <v>1907</v>
          </cell>
          <cell r="M19" t="str">
            <v>3 family, historic-ish, slate roof insulated below air gap</v>
          </cell>
          <cell r="N19" t="str">
            <v>Complete</v>
          </cell>
          <cell r="O19" t="str">
            <v>final inspection results prepared 7/5/2011</v>
          </cell>
          <cell r="P19">
            <v>40519</v>
          </cell>
          <cell r="Q19">
            <v>40725</v>
          </cell>
          <cell r="S19" t="str">
            <v>CG</v>
          </cell>
          <cell r="V19">
            <v>8</v>
          </cell>
        </row>
        <row r="20">
          <cell r="B20" t="str">
            <v>Wick</v>
          </cell>
          <cell r="C20" t="str">
            <v>Missy Wick</v>
          </cell>
          <cell r="D20">
            <v>1</v>
          </cell>
          <cell r="E20" t="str">
            <v>Coldham &amp; Hartman</v>
          </cell>
          <cell r="F20" t="str">
            <v>A</v>
          </cell>
          <cell r="G20" t="str">
            <v>Kent Hicks Construction</v>
          </cell>
          <cell r="H20" t="str">
            <v>Northampton</v>
          </cell>
          <cell r="I20">
            <v>2032</v>
          </cell>
          <cell r="J20" t="str">
            <v>Victorian</v>
          </cell>
          <cell r="K20">
            <v>1</v>
          </cell>
          <cell r="L20">
            <v>1859</v>
          </cell>
          <cell r="M20" t="str">
            <v>exterior insulation, conditioned basement; significant part of project is new construction</v>
          </cell>
          <cell r="N20" t="str">
            <v>Complete</v>
          </cell>
          <cell r="O20" t="str">
            <v>1st application review sent 08-30; 2nd application review sent 2010-11-10 -- calculation for duct layout requested; received contract 12/21, final site visit with blower door test conducted on 2011-07-06</v>
          </cell>
          <cell r="Q20">
            <v>40730</v>
          </cell>
          <cell r="S20" t="str">
            <v>HW</v>
          </cell>
          <cell r="T20" t="str">
            <v>THC candidate -- BSC approved calcs for THC.  Project switched to GSHP.  KN, HW did follow-up guarded BD test 9/30/2011</v>
          </cell>
          <cell r="V20">
            <v>9</v>
          </cell>
        </row>
        <row r="21">
          <cell r="B21" t="str">
            <v>Habitat for Humanity of North Central Massachusetts</v>
          </cell>
          <cell r="C21" t="str">
            <v>Habitat-Lancaster</v>
          </cell>
          <cell r="D21">
            <v>1</v>
          </cell>
          <cell r="E21" t="str">
            <v>Jeff Richards</v>
          </cell>
          <cell r="F21" t="str">
            <v>A</v>
          </cell>
          <cell r="G21" t="str">
            <v>Habitat/
Transformations</v>
          </cell>
          <cell r="H21" t="str">
            <v>Lancaster</v>
          </cell>
          <cell r="I21">
            <v>908</v>
          </cell>
          <cell r="J21" t="str">
            <v>Cape to Colonial</v>
          </cell>
          <cell r="K21">
            <v>2</v>
          </cell>
          <cell r="L21">
            <v>1900</v>
          </cell>
          <cell r="M21" t="str">
            <v>Remove roof, reframe 2nd floor walls and add new truss roof, insulate with cellulose, 4" of XPS on the walls over breather mesh with closed cell in the wall cavity, closed cell on the basement walls and open cell on the rim joist, 2" of XPS under the new slab, new windows, new mechanical system</v>
          </cell>
          <cell r="N21" t="str">
            <v>Complete</v>
          </cell>
          <cell r="O21" t="str">
            <v>1st application review sent 2011-03, site visit 2011-05-12, 2nd application review sent 2011-05-23, final inspection and BD 2011-08-05</v>
          </cell>
          <cell r="Q21">
            <v>40760</v>
          </cell>
          <cell r="S21" t="str">
            <v>HW</v>
          </cell>
          <cell r="V21">
            <v>10</v>
          </cell>
        </row>
        <row r="22">
          <cell r="B22" t="str">
            <v>Aquiline</v>
          </cell>
          <cell r="D22">
            <v>1</v>
          </cell>
          <cell r="E22" t="str">
            <v>Synergy</v>
          </cell>
          <cell r="F22" t="str">
            <v>B</v>
          </cell>
          <cell r="G22" t="str">
            <v>Synergy</v>
          </cell>
          <cell r="H22" t="str">
            <v>Brookline</v>
          </cell>
          <cell r="I22">
            <v>2284</v>
          </cell>
          <cell r="J22" t="str">
            <v>Victorian</v>
          </cell>
          <cell r="K22">
            <v>3</v>
          </cell>
          <cell r="L22">
            <v>1899</v>
          </cell>
          <cell r="M22" t="str">
            <v>Partial retrofit - 4" polyiso on the walls, wood siding, new windows, basement insulation at rim joist, new boiler, HRV unit, connect previous measures with new measures</v>
          </cell>
          <cell r="N22" t="str">
            <v>Complete</v>
          </cell>
          <cell r="O22" t="str">
            <v>1st application review sent 2010-10-29; Not approved until combustion safety of existing boiler is addressed, 2nd application review sent 2011-04-12, revisions to 2nd application sent 2011-05-23, site visit 2011-05-24, site visit 2011-07-27</v>
          </cell>
          <cell r="P22">
            <v>40623</v>
          </cell>
          <cell r="Q22">
            <v>40863</v>
          </cell>
          <cell r="S22" t="str">
            <v>HW</v>
          </cell>
          <cell r="T22" t="str">
            <v>new windows and roof insulation as part of earlier retorift stages.  Boiler likely to remain.</v>
          </cell>
          <cell r="V22">
            <v>11</v>
          </cell>
        </row>
        <row r="23">
          <cell r="B23" t="str">
            <v>Atkins</v>
          </cell>
          <cell r="C23" t="str">
            <v>Jill Atkins</v>
          </cell>
          <cell r="D23">
            <v>1</v>
          </cell>
          <cell r="E23" t="str">
            <v xml:space="preserve">Jim Basnett </v>
          </cell>
          <cell r="F23" t="str">
            <v>B</v>
          </cell>
          <cell r="G23" t="str">
            <v>Basenett</v>
          </cell>
          <cell r="H23" t="str">
            <v>Westford</v>
          </cell>
          <cell r="I23">
            <v>2906</v>
          </cell>
          <cell r="J23" t="str">
            <v>Colonial</v>
          </cell>
          <cell r="K23">
            <v>2</v>
          </cell>
          <cell r="L23">
            <v>1993</v>
          </cell>
          <cell r="M23" t="str">
            <v>Partial retrofit (windows not DER and basement floor not insulated); 3" polyiso on ext walls; closed cell spray under roof deck</v>
          </cell>
          <cell r="N23" t="str">
            <v>Complete</v>
          </cell>
          <cell r="P23">
            <v>40689</v>
          </cell>
          <cell r="Q23">
            <v>40883</v>
          </cell>
          <cell r="S23" t="str">
            <v>CG</v>
          </cell>
          <cell r="T23" t="str">
            <v>Consulted with BSC prior to applying for NGID DER;</v>
          </cell>
          <cell r="V23">
            <v>12</v>
          </cell>
        </row>
        <row r="24">
          <cell r="B24" t="str">
            <v>Riley</v>
          </cell>
          <cell r="D24">
            <v>1</v>
          </cell>
          <cell r="E24" t="str">
            <v>Byggmeister</v>
          </cell>
          <cell r="F24" t="str">
            <v>B</v>
          </cell>
          <cell r="G24" t="str">
            <v>Byggmeister</v>
          </cell>
          <cell r="H24" t="str">
            <v>Jamaica Plain</v>
          </cell>
          <cell r="I24">
            <v>5663</v>
          </cell>
          <cell r="J24" t="str">
            <v>Victorian</v>
          </cell>
          <cell r="K24">
            <v>1</v>
          </cell>
          <cell r="L24">
            <v>1878</v>
          </cell>
          <cell r="M24" t="str">
            <v>Partial retrofit - basement and roof/ceiling insulation; air sealing throughout; no additonal wall insulation; restore existing windows</v>
          </cell>
          <cell r="N24" t="str">
            <v>Complete</v>
          </cell>
          <cell r="O24" t="str">
            <v>final verification and testing completed 2011-12-08</v>
          </cell>
          <cell r="Q24">
            <v>40885</v>
          </cell>
          <cell r="S24" t="str">
            <v>KN</v>
          </cell>
          <cell r="T24" t="str">
            <v xml:space="preserve">Partial.  </v>
          </cell>
          <cell r="V24">
            <v>13</v>
          </cell>
        </row>
        <row r="25">
          <cell r="B25" t="str">
            <v>Cunningham</v>
          </cell>
          <cell r="D25">
            <v>1</v>
          </cell>
          <cell r="E25" t="str">
            <v>Tobias Richon</v>
          </cell>
          <cell r="F25" t="str">
            <v>B</v>
          </cell>
          <cell r="G25" t="str">
            <v>Geoffrey H. Richon  Co</v>
          </cell>
          <cell r="H25" t="str">
            <v>Gloucester</v>
          </cell>
          <cell r="I25">
            <v>2171</v>
          </cell>
          <cell r="J25" t="str">
            <v>Single family</v>
          </cell>
          <cell r="K25">
            <v>2</v>
          </cell>
          <cell r="L25">
            <v>1920</v>
          </cell>
          <cell r="M25" t="str">
            <v>exterior insulating sheathing and new mechanicals</v>
          </cell>
          <cell r="N25" t="str">
            <v>Complete</v>
          </cell>
          <cell r="O25" t="str">
            <v>1st application approved 2010-11-24, 2nd application received 2011-05-18; final site visit 2011-12-12</v>
          </cell>
          <cell r="P25">
            <v>40674</v>
          </cell>
          <cell r="Q25">
            <v>40889</v>
          </cell>
          <cell r="S25" t="str">
            <v>CG</v>
          </cell>
          <cell r="T25" t="str">
            <v>THC, dropped.  Project just going for Level 1 incentives.</v>
          </cell>
          <cell r="V25">
            <v>14</v>
          </cell>
        </row>
        <row r="26">
          <cell r="B26" t="str">
            <v>Butler</v>
          </cell>
          <cell r="C26" t="str">
            <v>24-26 Princeton</v>
          </cell>
          <cell r="D26">
            <v>2</v>
          </cell>
          <cell r="E26" t="str">
            <v>Boston Green Building</v>
          </cell>
          <cell r="F26" t="str">
            <v>A</v>
          </cell>
          <cell r="G26" t="str">
            <v/>
          </cell>
          <cell r="H26" t="str">
            <v>Medford</v>
          </cell>
          <cell r="I26">
            <v>3200</v>
          </cell>
          <cell r="J26" t="str">
            <v>2 family gambrel</v>
          </cell>
          <cell r="K26">
            <v>3</v>
          </cell>
          <cell r="L26">
            <v>1916</v>
          </cell>
          <cell r="M26" t="str">
            <v>radical interior air barier, isolated basement, 2 family, EnerPhit for owners unit</v>
          </cell>
          <cell r="N26" t="str">
            <v>Complete</v>
          </cell>
          <cell r="O26" t="str">
            <v>final verification and testing completed 2011-12-15</v>
          </cell>
          <cell r="P26">
            <v>39982</v>
          </cell>
          <cell r="Q26">
            <v>40892</v>
          </cell>
          <cell r="S26" t="str">
            <v>KN</v>
          </cell>
          <cell r="T26" t="str">
            <v>duplex</v>
          </cell>
          <cell r="V26">
            <v>15</v>
          </cell>
        </row>
        <row r="27">
          <cell r="B27" t="str">
            <v>Biddle</v>
          </cell>
          <cell r="D27">
            <v>1</v>
          </cell>
          <cell r="E27" t="str">
            <v>Coldham &amp; Hartman</v>
          </cell>
          <cell r="F27" t="str">
            <v>A</v>
          </cell>
          <cell r="G27" t="str">
            <v>Hasbrouck Custom Building/Remodeling</v>
          </cell>
          <cell r="H27" t="str">
            <v>Northampton</v>
          </cell>
          <cell r="I27">
            <v>1126</v>
          </cell>
          <cell r="J27" t="str">
            <v>Ranch</v>
          </cell>
          <cell r="K27">
            <v>1</v>
          </cell>
          <cell r="L27">
            <v>1972</v>
          </cell>
          <cell r="M27" t="str">
            <v>Partial retrofit - new second floor with double stud wall filled with cellulose insulation, 1.5" polyiso on exterior walls, existing fiberglass insluation in wall cavities, cellulose in the attic floor, new windows, polyiso on the basement walls, no slab insulation, new boiler, bathroom fans for ventilation</v>
          </cell>
          <cell r="N27" t="str">
            <v>Complete</v>
          </cell>
          <cell r="O27" t="str">
            <v>1st application review 2011-07-21, pre-retrofit site visit and blower door test 2011-07-21, second application review 2011-08-10, site visit 2011-10-03, final site visit by CET 2012-01-16</v>
          </cell>
          <cell r="P27">
            <v>40730</v>
          </cell>
          <cell r="Q27">
            <v>40924</v>
          </cell>
          <cell r="S27" t="str">
            <v>HW</v>
          </cell>
          <cell r="T27" t="str">
            <v>final measures verification by CET</v>
          </cell>
          <cell r="V27">
            <v>16</v>
          </cell>
        </row>
        <row r="28">
          <cell r="B28" t="str">
            <v>Veterans Northeast Outreach Center</v>
          </cell>
          <cell r="C28" t="str">
            <v>Amirian</v>
          </cell>
          <cell r="D28">
            <v>2</v>
          </cell>
          <cell r="E28" t="str">
            <v>Sven Amirian, Quincy Vale</v>
          </cell>
          <cell r="F28" t="str">
            <v>C</v>
          </cell>
          <cell r="G28" t="str">
            <v>TSC Construction, LLC</v>
          </cell>
          <cell r="H28" t="str">
            <v>Haverhill</v>
          </cell>
          <cell r="I28">
            <v>1542</v>
          </cell>
          <cell r="J28" t="str">
            <v>Colonial</v>
          </cell>
          <cell r="K28">
            <v>2</v>
          </cell>
          <cell r="L28">
            <v>1900</v>
          </cell>
          <cell r="M28" t="str">
            <v>conditioned basement with SPF exterior polyiso on walls and roof; SPF under roof; cellulose in wall cavities; not a chainsaw.</v>
          </cell>
          <cell r="N28" t="str">
            <v>Complete</v>
          </cell>
          <cell r="O28" t="str">
            <v>1st application approved10-18-2010; initial site visit 2010-11-11; initial blower door test by others; intermediate verification site visit 2011-09-28; final blower door test on 2012-03-13</v>
          </cell>
          <cell r="P28">
            <v>40392</v>
          </cell>
          <cell r="Q28">
            <v>40980</v>
          </cell>
          <cell r="S28" t="str">
            <v>CG</v>
          </cell>
          <cell r="T28" t="str">
            <v>resolved issues -&gt;[Still outstanding on 1st review: description of exterior wall and if existing windows are to be reinstalled]  Mike Browne did pre-DER test</v>
          </cell>
          <cell r="V28">
            <v>17</v>
          </cell>
        </row>
        <row r="29">
          <cell r="B29" t="str">
            <v>Bean</v>
          </cell>
          <cell r="D29">
            <v>3</v>
          </cell>
          <cell r="E29" t="str">
            <v>Boston Green Building</v>
          </cell>
          <cell r="F29" t="str">
            <v>B</v>
          </cell>
          <cell r="G29" t="str">
            <v>Boston Green Building</v>
          </cell>
          <cell r="H29" t="str">
            <v>Dorchester</v>
          </cell>
          <cell r="I29">
            <v>4200</v>
          </cell>
          <cell r="K29">
            <v>3</v>
          </cell>
          <cell r="M29" t="str">
            <v>3 family, isolated basement, possibly historic significant, exterior wall insulation, interior roof insulation, attached existing porch, new decks independent.</v>
          </cell>
          <cell r="N29" t="str">
            <v>Complete</v>
          </cell>
          <cell r="O29" t="str">
            <v>1st application approved 2010-10-29; initial site visit and blower door test by BSC 11/24; test report sent 12-20; 2nd app received 2011-03-11</v>
          </cell>
          <cell r="P29">
            <v>40506</v>
          </cell>
          <cell r="Q29">
            <v>41002</v>
          </cell>
          <cell r="S29" t="str">
            <v>KN</v>
          </cell>
          <cell r="T29" t="str">
            <v>could use guidance on mechanicals, much nice detailing on existing exterior</v>
          </cell>
          <cell r="V29">
            <v>18</v>
          </cell>
        </row>
        <row r="30">
          <cell r="B30" t="str">
            <v>Mampre</v>
          </cell>
          <cell r="D30">
            <v>1</v>
          </cell>
          <cell r="E30" t="str">
            <v>Synergy</v>
          </cell>
          <cell r="F30" t="str">
            <v>B</v>
          </cell>
          <cell r="G30" t="str">
            <v>Synergy</v>
          </cell>
          <cell r="H30" t="str">
            <v>Rutland</v>
          </cell>
          <cell r="I30">
            <v>1415</v>
          </cell>
          <cell r="J30" t="str">
            <v>Cape</v>
          </cell>
          <cell r="K30">
            <v>1</v>
          </cell>
          <cell r="L30">
            <v>1977</v>
          </cell>
          <cell r="M30" t="str">
            <v>exterior insulation, conditioned basement, hydronic heat with ducted HRV</v>
          </cell>
          <cell r="N30" t="str">
            <v>Complete</v>
          </cell>
          <cell r="O30" t="str">
            <v>received 1st for review 08-31, review sent; initial site visit and blower door test by BSC 12/17; test report sent 12/20, 2nd application received 5/06</v>
          </cell>
          <cell r="P30">
            <v>40529</v>
          </cell>
          <cell r="Q30">
            <v>41012</v>
          </cell>
          <cell r="S30" t="str">
            <v>KN</v>
          </cell>
          <cell r="T30" t="str">
            <v>review complete, supplemental assistance on mechanicals.  Owner acting as lead DER contact</v>
          </cell>
          <cell r="V30">
            <v>19</v>
          </cell>
        </row>
        <row r="31">
          <cell r="B31" t="str">
            <v>Sorkin</v>
          </cell>
          <cell r="D31">
            <v>1</v>
          </cell>
          <cell r="E31" t="str">
            <v>Sean McWilliams</v>
          </cell>
          <cell r="F31" t="str">
            <v>B</v>
          </cell>
          <cell r="G31" t="str">
            <v>Sean Jeffords</v>
          </cell>
          <cell r="H31" t="str">
            <v>Florence</v>
          </cell>
          <cell r="I31">
            <v>2690</v>
          </cell>
          <cell r="J31" t="str">
            <v>Victorian</v>
          </cell>
          <cell r="K31">
            <v>2</v>
          </cell>
          <cell r="L31">
            <v>1880</v>
          </cell>
          <cell r="M31" t="str">
            <v>Partial retrofit because walls and windows are not included; basement floor insulation placed over sleepers</v>
          </cell>
          <cell r="N31" t="str">
            <v>Complete</v>
          </cell>
          <cell r="O31" t="str">
            <v xml:space="preserve">1st application  reviewed 2011-03-07; 1st site visit (KN) on 2011-08-17; 2nd application reviewed 2011-08-11  and requested updated dwgs; updated dwgs received 2011-09-18; site visit by CET 2011-11-18 with final report submited 2011-12-08 noting changes to implementation; BSC reviewed changed implementation 2012-01-04; CET did final site visit on 2012-04-20 -- final questions still pending </v>
          </cell>
          <cell r="P31">
            <v>40772</v>
          </cell>
          <cell r="Q31">
            <v>41041</v>
          </cell>
          <cell r="S31" t="str">
            <v>CG</v>
          </cell>
          <cell r="T31" t="str">
            <v>CET (Mark Newey) did measurement verifications</v>
          </cell>
          <cell r="V31">
            <v>20</v>
          </cell>
        </row>
        <row r="32">
          <cell r="B32" t="str">
            <v>Jalbert</v>
          </cell>
          <cell r="D32">
            <v>1</v>
          </cell>
          <cell r="E32" t="str">
            <v>Home Energy, Inc</v>
          </cell>
          <cell r="F32" t="str">
            <v>B</v>
          </cell>
          <cell r="G32" t="str">
            <v>John Call</v>
          </cell>
          <cell r="H32" t="str">
            <v>Methuen, MA</v>
          </cell>
          <cell r="I32">
            <v>767</v>
          </cell>
          <cell r="J32" t="str">
            <v>Bungalow</v>
          </cell>
          <cell r="K32">
            <v>2</v>
          </cell>
          <cell r="L32">
            <v>1940</v>
          </cell>
          <cell r="M32" t="str">
            <v>Adding second floor to bungalow with walk-out; using Atlas nail base insulation on exterior of framed walls and interior of basement walls.</v>
          </cell>
          <cell r="N32" t="str">
            <v>Complete</v>
          </cell>
          <cell r="O32" t="str">
            <v>1st application reviewed 2012-02-03; 2nd application with follow up approved on 2012-04-12</v>
          </cell>
          <cell r="P32">
            <v>40954</v>
          </cell>
          <cell r="Q32">
            <v>41102</v>
          </cell>
          <cell r="S32" t="str">
            <v>CG</v>
          </cell>
          <cell r="T32" t="str">
            <v>Using Atlas nail base insulation on exterior walls and basement walls.</v>
          </cell>
          <cell r="V32">
            <v>21</v>
          </cell>
        </row>
        <row r="33">
          <cell r="B33" t="str">
            <v>Northern Berkshire Habitat for Humanity</v>
          </cell>
          <cell r="C33" t="str">
            <v>Paul Austin</v>
          </cell>
          <cell r="D33">
            <v>1</v>
          </cell>
          <cell r="E33" t="str">
            <v>NBHfH</v>
          </cell>
          <cell r="F33" t="str">
            <v>B</v>
          </cell>
          <cell r="G33" t="str">
            <v>NBHfH</v>
          </cell>
          <cell r="H33" t="str">
            <v>Williamstown</v>
          </cell>
          <cell r="I33">
            <v>759</v>
          </cell>
          <cell r="J33" t="str">
            <v>Ranch</v>
          </cell>
          <cell r="K33">
            <v>1</v>
          </cell>
          <cell r="L33">
            <v>1940</v>
          </cell>
          <cell r="M33" t="str">
            <v>exterior wall insulation, cellulose attic floor, add second floor, condition basement, add (presently non-existant) mechanicals, windows in plane of drainage plane w/ inset buck</v>
          </cell>
          <cell r="N33" t="str">
            <v>Complete</v>
          </cell>
          <cell r="O33" t="str">
            <v>1st application approved 2010-7-23; 2nd application review sent 2010-11-16 requesting additional info per 1st review; revised 2nd app submission reviewed 2011-02-15</v>
          </cell>
          <cell r="P33">
            <v>40439</v>
          </cell>
          <cell r="Q33">
            <v>40729</v>
          </cell>
          <cell r="R33">
            <v>41134</v>
          </cell>
          <cell r="S33" t="str">
            <v>KN</v>
          </cell>
          <cell r="T33" t="str">
            <v>CET did pre-work BD, interior already gutted.  Visit site for window mock-up.  Follow up visit verified details.</v>
          </cell>
          <cell r="V33">
            <v>26</v>
          </cell>
        </row>
        <row r="34">
          <cell r="B34" t="str">
            <v>Slough</v>
          </cell>
          <cell r="D34">
            <v>1</v>
          </cell>
          <cell r="E34" t="str">
            <v>Coldham &amp; Hartman</v>
          </cell>
          <cell r="F34" t="str">
            <v>A</v>
          </cell>
          <cell r="G34" t="str">
            <v>Steve Ferrari</v>
          </cell>
          <cell r="H34" t="str">
            <v>Northampton</v>
          </cell>
          <cell r="I34">
            <v>1284</v>
          </cell>
          <cell r="J34" t="str">
            <v>Victorian</v>
          </cell>
          <cell r="K34">
            <v>2</v>
          </cell>
          <cell r="L34">
            <v>1900</v>
          </cell>
          <cell r="M34" t="str">
            <v>mixed retrofit of older structure and new construction of small addition, Exterior insulation on roof and walls, inclusion of attic, homeowner to insulate existing basement slab later</v>
          </cell>
          <cell r="N34" t="str">
            <v>Complete</v>
          </cell>
          <cell r="O34" t="str">
            <v>2nd application reviewed 2012-01-13</v>
          </cell>
          <cell r="Q34">
            <v>41011</v>
          </cell>
          <cell r="R34">
            <v>41149</v>
          </cell>
          <cell r="S34" t="str">
            <v>KN</v>
          </cell>
          <cell r="T34" t="str">
            <v>Coldham Hartman supplied the pre-work test data. Mark Newey of CET conducting field verifications</v>
          </cell>
          <cell r="V34">
            <v>32</v>
          </cell>
        </row>
        <row r="35">
          <cell r="B35" t="str">
            <v>Mills</v>
          </cell>
          <cell r="C35" t="str">
            <v>Zack Norwood</v>
          </cell>
          <cell r="D35">
            <v>1</v>
          </cell>
          <cell r="E35" t="str">
            <v>Paul Eldrenkamp</v>
          </cell>
          <cell r="F35" t="str">
            <v>C</v>
          </cell>
          <cell r="G35" t="str">
            <v>Brian Marcotte</v>
          </cell>
          <cell r="H35" t="str">
            <v>Wakefield, RI</v>
          </cell>
          <cell r="I35">
            <v>2200</v>
          </cell>
          <cell r="J35" t="str">
            <v>Contemporary</v>
          </cell>
          <cell r="K35">
            <v>2</v>
          </cell>
          <cell r="L35">
            <v>1979</v>
          </cell>
          <cell r="M35" t="str">
            <v>appears to have been designed as passive solar, thick exterior insulation, Passive House, kitchen exhaust through HRV</v>
          </cell>
          <cell r="N35" t="str">
            <v>Complete</v>
          </cell>
          <cell r="O35">
            <v>0</v>
          </cell>
          <cell r="P35">
            <v>40990</v>
          </cell>
          <cell r="Q35">
            <v>41156</v>
          </cell>
          <cell r="R35">
            <v>41156</v>
          </cell>
          <cell r="S35" t="str">
            <v>KN</v>
          </cell>
          <cell r="T35" t="str">
            <v>passive house ventilation</v>
          </cell>
          <cell r="V35">
            <v>22</v>
          </cell>
        </row>
        <row r="36">
          <cell r="B36" t="str">
            <v>Oliver</v>
          </cell>
          <cell r="C36" t="str">
            <v>Jeff Oliver</v>
          </cell>
          <cell r="D36">
            <v>3</v>
          </cell>
          <cell r="E36" t="str">
            <v>Synergy</v>
          </cell>
          <cell r="F36" t="str">
            <v>B</v>
          </cell>
          <cell r="G36" t="str">
            <v>Synergy</v>
          </cell>
          <cell r="H36" t="str">
            <v>Worcester</v>
          </cell>
          <cell r="I36">
            <v>2100</v>
          </cell>
          <cell r="J36" t="str">
            <v>3 family</v>
          </cell>
          <cell r="K36">
            <v>3</v>
          </cell>
          <cell r="L36">
            <v>1890</v>
          </cell>
          <cell r="M36" t="str">
            <v>exterior insulation, conditioned basement, on demand water heaters, ductless minisplit w/ ducted HRV.</v>
          </cell>
          <cell r="N36" t="str">
            <v>Complete</v>
          </cell>
          <cell r="O36" t="str">
            <v>1st application approved 2010-10-29; initial site visit and blower door test by BSC 12/17; test report sent 12-20.</v>
          </cell>
          <cell r="P36">
            <v>40529</v>
          </cell>
          <cell r="Q36">
            <v>41012</v>
          </cell>
          <cell r="R36">
            <v>41166</v>
          </cell>
          <cell r="S36" t="str">
            <v>KN</v>
          </cell>
          <cell r="T36" t="str">
            <v>possible opportunity for combi system, but 2 units have rinnai wall furnace installed presently.   2011-08-30: project will use hyper heat minisplits, no combustion heating.</v>
          </cell>
          <cell r="V36">
            <v>30</v>
          </cell>
        </row>
        <row r="37">
          <cell r="B37" t="str">
            <v>move completed projects to row above</v>
          </cell>
          <cell r="D37">
            <v>1</v>
          </cell>
          <cell r="E37" t="str">
            <v>Mark Yanowitz, Verdeco Designs LLC</v>
          </cell>
          <cell r="F37" t="str">
            <v>A</v>
          </cell>
          <cell r="G37">
            <v>0</v>
          </cell>
          <cell r="H37" t="str">
            <v>Lowell</v>
          </cell>
          <cell r="I37">
            <v>1332</v>
          </cell>
          <cell r="J37" t="str">
            <v>Colonial</v>
          </cell>
          <cell r="K37">
            <v>2</v>
          </cell>
          <cell r="L37">
            <v>1924</v>
          </cell>
          <cell r="M37" t="str">
            <v xml:space="preserve">Retrofit with addition; Cascadia standoffs for mteal siding attachment; 2 layers of CavityRock insulaton on exterior of walls; rockwool batts in vented roof; unvented attic; conditioned basement but uninsulated floors. </v>
          </cell>
          <cell r="N37" t="str">
            <v>Complete</v>
          </cell>
          <cell r="O37" t="str">
            <v>2nd application with follow-up formally approved on 2012-05-02; pre-DER blower door test performed 2012-05-03</v>
          </cell>
          <cell r="P37">
            <v>41041</v>
          </cell>
          <cell r="Q37">
            <v>41242</v>
          </cell>
          <cell r="R37" t="str">
            <v>unknown</v>
          </cell>
          <cell r="S37" t="str">
            <v>CG</v>
          </cell>
          <cell r="T37" t="str">
            <v xml:space="preserve">At final visit (KN), (metal) siding had not been installed.  Bird were making tunnel shelters out of the exterior mineral wool.  Interior gypsum board was not yet installed.  </v>
          </cell>
          <cell r="V37">
            <v>23</v>
          </cell>
        </row>
        <row r="38">
          <cell r="B38" t="str">
            <v>Groton School</v>
          </cell>
          <cell r="D38">
            <v>1</v>
          </cell>
          <cell r="E38" t="str">
            <v>Synergy</v>
          </cell>
          <cell r="F38" t="str">
            <v>B</v>
          </cell>
          <cell r="G38" t="str">
            <v>Friedrich Construction, Inc.</v>
          </cell>
          <cell r="H38" t="str">
            <v>Groton</v>
          </cell>
          <cell r="I38">
            <v>2222</v>
          </cell>
          <cell r="J38" t="str">
            <v>Colonial</v>
          </cell>
          <cell r="K38">
            <v>2</v>
          </cell>
          <cell r="L38">
            <v>1961</v>
          </cell>
          <cell r="M38" t="str">
            <v>single family, house fire triggered retrofit, 4" foam on walls and roof, basement and attic in thermal enclosure</v>
          </cell>
          <cell r="N38" t="str">
            <v>?</v>
          </cell>
          <cell r="O38" t="str">
            <v>1st application received 2011-06-03; initial blower door test by others; 1st application review sent 2011-06-15</v>
          </cell>
          <cell r="P38">
            <v>41011</v>
          </cell>
          <cell r="Q38">
            <v>40952</v>
          </cell>
          <cell r="R38">
            <v>40735</v>
          </cell>
          <cell r="S38" t="str">
            <v>KB</v>
          </cell>
          <cell r="T38" t="str">
            <v>Project will be dropped unless they project team agrees to open up areas for inspection (call with Marie 2011-10-18), UPDATE: areas opened up for inspection 2012-02-13 and reviewed by KB and KN.</v>
          </cell>
          <cell r="V38">
            <v>24</v>
          </cell>
        </row>
        <row r="39">
          <cell r="B39" t="str">
            <v>insert rows/move rows above</v>
          </cell>
          <cell r="C39">
            <v>0</v>
          </cell>
          <cell r="D39">
            <v>2</v>
          </cell>
          <cell r="E39" t="str">
            <v>Dave Caldwell</v>
          </cell>
          <cell r="F39" t="str">
            <v>B</v>
          </cell>
          <cell r="G39" t="str">
            <v>Caldwell &amp; Johnson, Inc.</v>
          </cell>
          <cell r="H39" t="str">
            <v>North Kingstown, RI</v>
          </cell>
          <cell r="I39">
            <v>3520</v>
          </cell>
          <cell r="J39" t="str">
            <v>Ranch</v>
          </cell>
          <cell r="K39">
            <v>1</v>
          </cell>
          <cell r="L39">
            <v>1962</v>
          </cell>
          <cell r="M39" t="str">
            <v>Complete gut of a neglected home, new roof with 18" of open cell spray foam, 2x4 exoskelton built to the outside of existing 2x4 wall, interior framing filled with open cell, exterior framing filled with closed cell, 1.5" of polyiso on the outside, new windows, new mechanical system, 4" on the outside of foundation walls, aerogel on the basement slab</v>
          </cell>
          <cell r="N39" t="str">
            <v>Complete</v>
          </cell>
          <cell r="O39" t="str">
            <v>1st application received 11-03-11; initial blower door test and energy modeling by others, 1st application review sent 2011-05-06, 2nd application received 2011-06-29, phone call with builder on 2011-07-22, 2nd application review sent 2011-07-22</v>
          </cell>
          <cell r="P39">
            <v>0</v>
          </cell>
          <cell r="Q39">
            <v>41214</v>
          </cell>
          <cell r="R39">
            <v>41214</v>
          </cell>
          <cell r="S39" t="str">
            <v>HW</v>
          </cell>
          <cell r="T39" t="str">
            <v>Souse was already in construction when the 1st application was submitted, the review was done while the house was in construction.</v>
          </cell>
          <cell r="V39">
            <v>25</v>
          </cell>
        </row>
        <row r="40">
          <cell r="B40" t="str">
            <v>Caldwell</v>
          </cell>
          <cell r="D40">
            <v>2</v>
          </cell>
          <cell r="E40" t="str">
            <v>Dave Caldwell</v>
          </cell>
          <cell r="F40" t="str">
            <v>B</v>
          </cell>
          <cell r="G40" t="str">
            <v>Caldwell &amp; Johnson, Inc.</v>
          </cell>
          <cell r="H40" t="str">
            <v>North Kingstown, RI</v>
          </cell>
          <cell r="I40">
            <v>3520</v>
          </cell>
          <cell r="J40" t="str">
            <v>Ranch</v>
          </cell>
          <cell r="K40">
            <v>1</v>
          </cell>
          <cell r="L40">
            <v>1962</v>
          </cell>
          <cell r="M40" t="str">
            <v>Complete gut of a neglected home, new roof with 18" of open cell spray foam, 2x4 exoskelton built to the outside of existing 2x4 wall, interior framing filled with open cell, exterior framing filled with closed cell, 1.5" of polyiso on the outside, new windows, new mechanical system, 4" on the outside of foundation walls, aerogel on the basement slab</v>
          </cell>
          <cell r="N40" t="str">
            <v>In Construction</v>
          </cell>
          <cell r="O40" t="str">
            <v>1st application received 11-03-11; initial blower door test and energy modeling by others, 1st application review sent 2011-05-06, 2nd application received 2011-06-29, phone call with builder on 2011-07-22, 2nd application review sent 2011-07-22</v>
          </cell>
          <cell r="P40">
            <v>40711</v>
          </cell>
          <cell r="Q40">
            <v>40431</v>
          </cell>
          <cell r="R40" t="str">
            <v>unknown</v>
          </cell>
          <cell r="S40" t="str">
            <v>HW</v>
          </cell>
          <cell r="T40" t="str">
            <v>house was already in construction when the 1st application was submitted, the review was done while the house is in construction</v>
          </cell>
          <cell r="V40">
            <v>27</v>
          </cell>
        </row>
        <row r="41">
          <cell r="B41" t="str">
            <v>Mullare-Rivera</v>
          </cell>
          <cell r="D41">
            <v>1</v>
          </cell>
          <cell r="E41" t="str">
            <v>Zero Energy Design</v>
          </cell>
          <cell r="F41" t="str">
            <v>C</v>
          </cell>
          <cell r="G41" t="str">
            <v/>
          </cell>
          <cell r="H41" t="str">
            <v>Cohasset</v>
          </cell>
          <cell r="I41">
            <v>2050</v>
          </cell>
          <cell r="J41" t="str">
            <v>Contemporary</v>
          </cell>
          <cell r="K41">
            <v>1.5</v>
          </cell>
          <cell r="L41">
            <v>1983</v>
          </cell>
          <cell r="M41" t="str">
            <v>included basement, superinsulation strategy not yet determined</v>
          </cell>
          <cell r="N41" t="str">
            <v>In Construction</v>
          </cell>
          <cell r="O41">
            <v>0</v>
          </cell>
          <cell r="P41">
            <v>40406</v>
          </cell>
          <cell r="Q41">
            <v>40535</v>
          </cell>
          <cell r="R41">
            <v>41242</v>
          </cell>
          <cell r="S41" t="str">
            <v>KN</v>
          </cell>
          <cell r="T41" t="str">
            <v>some changes to project plan submitted and approved regarding courtyard roof and sequence.</v>
          </cell>
          <cell r="V41">
            <v>28</v>
          </cell>
        </row>
        <row r="42">
          <cell r="B42" t="str">
            <v>Morrison</v>
          </cell>
          <cell r="C42">
            <v>0</v>
          </cell>
          <cell r="D42">
            <v>1</v>
          </cell>
          <cell r="E42" t="str">
            <v>Transformations</v>
          </cell>
          <cell r="F42" t="str">
            <v>C</v>
          </cell>
          <cell r="G42" t="str">
            <v>Boston Green Building</v>
          </cell>
          <cell r="H42" t="str">
            <v>Sudbury</v>
          </cell>
          <cell r="I42">
            <v>1320</v>
          </cell>
          <cell r="J42" t="str">
            <v>Raised Ranch</v>
          </cell>
          <cell r="K42">
            <v>1</v>
          </cell>
          <cell r="L42">
            <v>1960</v>
          </cell>
          <cell r="M42" t="str">
            <v>4" of polyiso on the above grade walls, loose fiberglass or cellulose in stud cavities, 4" of polyiso on the roof, 10" of cellulose between rafters, 4" of XPS on exterior of foundation walls, 1" of XPS over existing slab, Paradigm windows, new furnace and DHW</v>
          </cell>
          <cell r="N42" t="str">
            <v>In Construction</v>
          </cell>
          <cell r="O42" t="str">
            <v>1st application reviewed 2011-06-14, pre-retrofit site visit with blower door test conducted on 2011-06-17</v>
          </cell>
          <cell r="P42">
            <v>40711</v>
          </cell>
          <cell r="Q42">
            <v>41004</v>
          </cell>
          <cell r="R42" t="str">
            <v>unknown</v>
          </cell>
          <cell r="S42" t="str">
            <v>HW</v>
          </cell>
          <cell r="T42" t="str">
            <v>THC candidate</v>
          </cell>
          <cell r="V42">
            <v>29</v>
          </cell>
        </row>
        <row r="43">
          <cell r="B43" t="str">
            <v>Enos</v>
          </cell>
          <cell r="C43" t="str">
            <v>Chris Martin</v>
          </cell>
          <cell r="D43">
            <v>2</v>
          </cell>
          <cell r="E43" t="str">
            <v>Coldham &amp; Hartman</v>
          </cell>
          <cell r="F43" t="str">
            <v>A</v>
          </cell>
          <cell r="G43" t="str">
            <v>Synergy</v>
          </cell>
          <cell r="H43" t="str">
            <v>Bedford</v>
          </cell>
          <cell r="I43">
            <v>1956</v>
          </cell>
          <cell r="J43" t="str">
            <v>Farmhouse</v>
          </cell>
          <cell r="K43">
            <v>2</v>
          </cell>
          <cell r="L43">
            <v>1875</v>
          </cell>
          <cell r="M43" t="str">
            <v>existing farmhouse with addition of garage with new dwelling unit above garage; 4" of polyiso on existing house walls and roof, 1 1/2" of rigid foam on addition; garage insulated but not conditioned</v>
          </cell>
          <cell r="N43" t="str">
            <v>In Construction</v>
          </cell>
          <cell r="O43" t="str">
            <v>1st application review sent 2011-11-11. 2nd application review sent 2012-02-23. 2nd application response review sent 2012-04-10.</v>
          </cell>
          <cell r="P43">
            <v>40851</v>
          </cell>
          <cell r="Q43">
            <v>41214</v>
          </cell>
          <cell r="R43">
            <v>41214</v>
          </cell>
          <cell r="S43" t="str">
            <v>KB</v>
          </cell>
          <cell r="T43" t="str">
            <v>Project applied for incentives for 2 units but 1 unit is entirely new construction - waiting for word from Ngrid - will be considered 2 units. Blower door test on 2011-11-04.</v>
          </cell>
          <cell r="V43">
            <v>31</v>
          </cell>
        </row>
        <row r="44">
          <cell r="B44" t="str">
            <v>Kurkoski</v>
          </cell>
          <cell r="C44" t="str">
            <v>Chris Martin</v>
          </cell>
          <cell r="D44">
            <v>1</v>
          </cell>
          <cell r="E44" t="str">
            <v>Bick Corsa Caprentry</v>
          </cell>
          <cell r="F44" t="str">
            <v>B</v>
          </cell>
          <cell r="G44" t="str">
            <v>Byggmeister</v>
          </cell>
          <cell r="H44" t="str">
            <v>Jamaica Plain</v>
          </cell>
          <cell r="I44">
            <v>3113</v>
          </cell>
          <cell r="J44" t="str">
            <v>Brick Row House</v>
          </cell>
          <cell r="K44">
            <v>3</v>
          </cell>
          <cell r="L44">
            <v>1918</v>
          </cell>
          <cell r="M44" t="str">
            <v>Staged retrofit - 4" of polyiso on the flat roof with 12"-18" cellulose cavity insulation (roof insulation ratios were pointed out in the first review), new furnaces, fan cyclers for ventilation, weatherstripping for entry doors, new exterior basement door</v>
          </cell>
          <cell r="N44" t="str">
            <v>Complete</v>
          </cell>
          <cell r="O44" t="str">
            <v>1st application reviewed 2012-01-13, 2nd application reviewed 2012-03-13, additional information requested</v>
          </cell>
          <cell r="P44">
            <v>40826</v>
          </cell>
          <cell r="Q44">
            <v>41214</v>
          </cell>
          <cell r="R44">
            <v>41214</v>
          </cell>
          <cell r="S44" t="str">
            <v>HW</v>
          </cell>
          <cell r="V44">
            <v>33</v>
          </cell>
        </row>
        <row r="45">
          <cell r="B45" t="str">
            <v>Phoenix Apartments</v>
          </cell>
          <cell r="D45">
            <v>3</v>
          </cell>
          <cell r="E45" t="str">
            <v>Durkee Brown Architects</v>
          </cell>
          <cell r="F45" t="str">
            <v>A</v>
          </cell>
          <cell r="G45" t="str">
            <v>Pezzuco Construction</v>
          </cell>
          <cell r="H45" t="str">
            <v>Providence, RI</v>
          </cell>
          <cell r="I45">
            <v>4449</v>
          </cell>
          <cell r="J45" t="str">
            <v>Triple Family</v>
          </cell>
          <cell r="K45">
            <v>3</v>
          </cell>
          <cell r="L45">
            <v>1915</v>
          </cell>
          <cell r="M45" t="str">
            <v>Comprehensive retrofit - medium density spray foam in roof rafters, wall studs, and in basement floor joists.  3" polyiso on walls, newwindows, new boiler, new HRVs</v>
          </cell>
          <cell r="N45" t="str">
            <v>In Construction</v>
          </cell>
          <cell r="O45" t="str">
            <v>1st application reviewed 2011-12-07, 2nd application reviewed 2012-02-17</v>
          </cell>
          <cell r="P45">
            <v>41019</v>
          </cell>
          <cell r="Q45">
            <v>41113</v>
          </cell>
          <cell r="R45" t="str">
            <v>unknown</v>
          </cell>
          <cell r="S45" t="str">
            <v>PK</v>
          </cell>
          <cell r="T45" t="str">
            <v>No pre-retrofit blower door available due to building already gutted.</v>
          </cell>
          <cell r="V45">
            <v>41</v>
          </cell>
        </row>
        <row r="46">
          <cell r="B46" t="str">
            <v>Phoenix II</v>
          </cell>
          <cell r="C46" t="str">
            <v>Lowe</v>
          </cell>
          <cell r="D46">
            <v>3</v>
          </cell>
          <cell r="E46" t="str">
            <v>Durkee Brown Architects</v>
          </cell>
          <cell r="F46" t="str">
            <v>A</v>
          </cell>
          <cell r="G46" t="str">
            <v>Pezzuco Construction</v>
          </cell>
          <cell r="H46" t="str">
            <v>Providence, RI</v>
          </cell>
          <cell r="I46">
            <v>3054</v>
          </cell>
          <cell r="J46" t="str">
            <v>Triple Family</v>
          </cell>
          <cell r="K46">
            <v>3</v>
          </cell>
          <cell r="L46">
            <v>1930</v>
          </cell>
          <cell r="M46" t="str">
            <v>Comprehensive retrofit - medium density spray foam in roof rafters, wall studs, and in basement floor joists.  3" polyiso on walls, newwindows, new boiler, new HRVs</v>
          </cell>
          <cell r="N46" t="str">
            <v>In Construction</v>
          </cell>
          <cell r="O46" t="str">
            <v>Excel spreadsheet for 1st application received 2010-12-16 but no photos or Part A, revised 1st application reviewed 2012-02-06</v>
          </cell>
          <cell r="P46">
            <v>41113</v>
          </cell>
          <cell r="Q46">
            <v>41214</v>
          </cell>
          <cell r="R46" t="str">
            <v>unknown</v>
          </cell>
          <cell r="S46" t="str">
            <v>PK</v>
          </cell>
          <cell r="T46" t="str">
            <v>No pre-retrofit blower door available due to building already gutted.</v>
          </cell>
          <cell r="V46">
            <v>48</v>
          </cell>
        </row>
        <row r="47">
          <cell r="B47" t="str">
            <v>Fisher</v>
          </cell>
          <cell r="C47" t="str">
            <v>Boehm</v>
          </cell>
          <cell r="D47">
            <v>1</v>
          </cell>
          <cell r="E47" t="str">
            <v>Christian Fisher</v>
          </cell>
          <cell r="F47" t="str">
            <v>B</v>
          </cell>
          <cell r="G47" t="str">
            <v>Ten Gates Development LLC</v>
          </cell>
          <cell r="H47" t="str">
            <v>Concord</v>
          </cell>
          <cell r="I47">
            <v>4409</v>
          </cell>
          <cell r="J47" t="str">
            <v>Ranch</v>
          </cell>
          <cell r="K47">
            <v>1</v>
          </cell>
          <cell r="L47">
            <v>1956</v>
          </cell>
          <cell r="M47" t="str">
            <v>Roof only DER</v>
          </cell>
          <cell r="N47" t="str">
            <v>In Construction</v>
          </cell>
          <cell r="O47" t="str">
            <v>1st application received 2012-02; 2nd application follow-up approved 2012-05-02, but project still making changes</v>
          </cell>
          <cell r="P47">
            <v>41011</v>
          </cell>
          <cell r="Q47" t="str">
            <v>unknown</v>
          </cell>
          <cell r="R47" t="str">
            <v>unknown</v>
          </cell>
          <cell r="S47" t="str">
            <v>CG</v>
          </cell>
          <cell r="V47">
            <v>34</v>
          </cell>
        </row>
        <row r="48">
          <cell r="B48" t="str">
            <v>Kartha</v>
          </cell>
          <cell r="C48" t="str">
            <v>Simko</v>
          </cell>
          <cell r="D48">
            <v>1</v>
          </cell>
          <cell r="E48" t="str">
            <v>Boston Green Building</v>
          </cell>
          <cell r="F48" t="str">
            <v>B</v>
          </cell>
          <cell r="G48" t="str">
            <v>Boston Green Building</v>
          </cell>
          <cell r="H48" t="str">
            <v>Lexington</v>
          </cell>
          <cell r="I48">
            <v>1979</v>
          </cell>
          <cell r="J48" t="str">
            <v>Cape</v>
          </cell>
          <cell r="K48">
            <v>1</v>
          </cell>
          <cell r="L48">
            <v>1946</v>
          </cell>
          <cell r="M48" t="str">
            <v>4" of polyiso on the roof, existing cellulose and new ocSPF in roof rafters, 4" of polyiso on the walls, new and existing fiberglass batts in wall cavities, ccSPFon the foundation walls, aerogel insulation on the existing slab</v>
          </cell>
          <cell r="N48" t="str">
            <v>In Construction</v>
          </cell>
          <cell r="O48" t="str">
            <v>1st application reviewed 2011-05-19, 2nd application reviewed 2012-02-22, additional information requested</v>
          </cell>
          <cell r="P48">
            <v>41000</v>
          </cell>
          <cell r="Q48">
            <v>41000</v>
          </cell>
          <cell r="R48" t="str">
            <v>unknown</v>
          </cell>
          <cell r="S48" t="str">
            <v>HW</v>
          </cell>
          <cell r="V48">
            <v>37</v>
          </cell>
        </row>
        <row r="49">
          <cell r="B49" t="str">
            <v>Takahashi</v>
          </cell>
          <cell r="D49">
            <v>2</v>
          </cell>
          <cell r="E49" t="str">
            <v>Kenji Takahashi (owner)</v>
          </cell>
          <cell r="F49" t="str">
            <v>B</v>
          </cell>
          <cell r="G49" t="str">
            <v>V.O. Design-Build, Inc.</v>
          </cell>
          <cell r="H49" t="str">
            <v>Watertown</v>
          </cell>
          <cell r="I49">
            <v>2899</v>
          </cell>
          <cell r="J49" t="str">
            <v>Duplex</v>
          </cell>
          <cell r="K49">
            <v>2</v>
          </cell>
          <cell r="L49">
            <v>1928</v>
          </cell>
          <cell r="M49" t="str">
            <v>Staged retrofit - 4" of polyiso on the roof with 5.5" ccSPF cavity insulation, 3" ccSPF on basement wall, 2" XPS on basement slab.  New dormer on rood, new dormer and UV atticspace windows replaced with R-5 units.  LowE storms installed over existing windows.  Heat pump for 2nd floor unit.  Furnace and air conditioning for 1st floor.</v>
          </cell>
          <cell r="N49" t="str">
            <v>In Construction</v>
          </cell>
          <cell r="O49" t="str">
            <v>1st application reviewed 2011-12-07, pre retrofit blower door site visit 2012-03-16, 2nd application reviewed ?</v>
          </cell>
          <cell r="P49">
            <v>40984</v>
          </cell>
          <cell r="Q49">
            <v>40952</v>
          </cell>
          <cell r="R49">
            <v>40735</v>
          </cell>
          <cell r="S49" t="str">
            <v>KB</v>
          </cell>
          <cell r="T49" t="str">
            <v>Project will be dropped unless the project team agrees to open up areas for inspection (call with Marie 2011-10-18), UPDATE: areas opened up for inspection 2012-02-13 and reviewed by KB and KN.</v>
          </cell>
          <cell r="V49">
            <v>38</v>
          </cell>
        </row>
        <row r="50">
          <cell r="B50" t="str">
            <v>Stevens</v>
          </cell>
          <cell r="C50">
            <v>0</v>
          </cell>
          <cell r="D50">
            <v>1</v>
          </cell>
          <cell r="E50" t="str">
            <v>Wright Builders</v>
          </cell>
          <cell r="F50" t="str">
            <v>B</v>
          </cell>
          <cell r="G50" t="str">
            <v>Wright Builders</v>
          </cell>
          <cell r="H50" t="str">
            <v>Northampton</v>
          </cell>
          <cell r="I50">
            <v>4460</v>
          </cell>
          <cell r="J50" t="str">
            <v>Two Family</v>
          </cell>
          <cell r="K50">
            <v>3</v>
          </cell>
          <cell r="L50">
            <v>1900</v>
          </cell>
          <cell r="M50" t="str">
            <v>Comprehensive retrofit - 10" of ccSPF at the underside of the roof deck where height is an issue, 3" of ccSPF with 11.5" of cellulose where height allows, 4" of foil-faced polyiso with cellulose in the existing cavities, Paradigm windows and Therma-Tru doors, 4" of XPS at the brick foundation walls with ccSPF at the upper portions and rim joist, water issues in the basement, 2 layers of 1" XPS at the slab with laminate flooring, Fantech 704 for ventilation, Buderus condensing boiler or air source heat pumps for heating and cooling</v>
          </cell>
          <cell r="N50" t="str">
            <v>In Construction</v>
          </cell>
          <cell r="O50" t="str">
            <v>Excel spreadhsheet for 1st application received 2012-02-03, 1st application reviewed 2012-02-15</v>
          </cell>
          <cell r="P50">
            <v>40969</v>
          </cell>
          <cell r="Q50">
            <v>41046</v>
          </cell>
          <cell r="R50">
            <v>41244</v>
          </cell>
          <cell r="S50" t="str">
            <v>KB</v>
          </cell>
          <cell r="T50" t="str">
            <v>Honorata and Ken reviewed 1st application; Katie will take project from here.</v>
          </cell>
          <cell r="V50">
            <v>46</v>
          </cell>
        </row>
        <row r="51">
          <cell r="B51" t="str">
            <v>Gleba</v>
          </cell>
          <cell r="D51">
            <v>1</v>
          </cell>
          <cell r="E51" t="str">
            <v>Mark Yanowitz, Verdeco Designs LLC</v>
          </cell>
          <cell r="F51" t="str">
            <v>A</v>
          </cell>
          <cell r="G51">
            <v>0</v>
          </cell>
          <cell r="H51" t="str">
            <v>Lowell</v>
          </cell>
          <cell r="I51">
            <v>1332</v>
          </cell>
          <cell r="J51" t="str">
            <v>Colonial</v>
          </cell>
          <cell r="K51">
            <v>2</v>
          </cell>
          <cell r="L51">
            <v>1924</v>
          </cell>
          <cell r="M51" t="str">
            <v xml:space="preserve">Retrofit with addition; Cascadia standoffs for mteal siding attachment; 2 layers of CavityRock insulaton on exterior of walls; rockwool batts in vented roof; unvented attic; conditioned basement but uninsulated floors. </v>
          </cell>
          <cell r="N51" t="str">
            <v>2nd application was okayed</v>
          </cell>
          <cell r="O51" t="str">
            <v>2nd application with follow-up formally approved on 2012-05-02; pre-DER blower door test performed 2012-05-03</v>
          </cell>
          <cell r="P51">
            <v>41041</v>
          </cell>
          <cell r="Q51" t="str">
            <v>unknown</v>
          </cell>
          <cell r="R51" t="str">
            <v>unknown</v>
          </cell>
          <cell r="S51" t="str">
            <v>CG</v>
          </cell>
          <cell r="V51">
            <v>43</v>
          </cell>
        </row>
        <row r="52">
          <cell r="B52" t="str">
            <v>Simmons</v>
          </cell>
          <cell r="C52">
            <v>0</v>
          </cell>
          <cell r="D52">
            <v>2</v>
          </cell>
          <cell r="E52" t="str">
            <v>Kristen Simmons (Owner/Architect)</v>
          </cell>
          <cell r="F52" t="str">
            <v>A</v>
          </cell>
          <cell r="G52" t="str">
            <v>Synergy</v>
          </cell>
          <cell r="H52" t="str">
            <v>Boston</v>
          </cell>
          <cell r="I52">
            <v>1867</v>
          </cell>
          <cell r="J52" t="str">
            <v>Duplex</v>
          </cell>
          <cell r="K52">
            <v>2</v>
          </cell>
          <cell r="L52">
            <v>1902</v>
          </cell>
          <cell r="M52" t="str">
            <v>Comprehensive retrofit with addition; 5" polyiso on roof, 8" cellulose in rafters, 5" polyiso on walls, 3.5" cellulose in stud cavity, 5" ccSPF on basement walls, 2" XPS under slab, new windows, new boilers and ERV</v>
          </cell>
          <cell r="N52" t="str">
            <v>In Construction</v>
          </cell>
          <cell r="O52" t="str">
            <v>1st app 2011-07-12, 2nd app 2012-02-29</v>
          </cell>
          <cell r="P52">
            <v>40752</v>
          </cell>
          <cell r="Q52" t="str">
            <v>unknown</v>
          </cell>
          <cell r="R52" t="str">
            <v>unknown</v>
          </cell>
          <cell r="S52" t="str">
            <v>PK</v>
          </cell>
          <cell r="V52">
            <v>44</v>
          </cell>
        </row>
        <row r="53">
          <cell r="B53" t="str">
            <v>Lowe-Passell</v>
          </cell>
          <cell r="C53" t="str">
            <v>Lowe</v>
          </cell>
          <cell r="D53">
            <v>3</v>
          </cell>
          <cell r="E53" t="str">
            <v>Durkee Brown Architects</v>
          </cell>
          <cell r="F53" t="str">
            <v>A</v>
          </cell>
          <cell r="G53" t="str">
            <v>Pezzuco Construction</v>
          </cell>
          <cell r="H53" t="str">
            <v>Providence, RI</v>
          </cell>
          <cell r="I53">
            <v>4449</v>
          </cell>
          <cell r="J53" t="str">
            <v>Triple Family</v>
          </cell>
          <cell r="K53">
            <v>3</v>
          </cell>
          <cell r="L53">
            <v>1915</v>
          </cell>
          <cell r="M53" t="str">
            <v>Comprehensive retrofit - medium density spray foam in roof rafters, wall studs, and in basement floor joists.  3" polyiso on walls, newwindows, new boiler, new HRVs</v>
          </cell>
          <cell r="N53" t="str">
            <v>In Construction</v>
          </cell>
          <cell r="O53" t="str">
            <v>1st application reviewed 2011-12-07, 2nd application reviewed 2012-02-17</v>
          </cell>
          <cell r="P53">
            <v>41019</v>
          </cell>
          <cell r="Q53">
            <v>41113</v>
          </cell>
          <cell r="R53" t="str">
            <v>unknown</v>
          </cell>
          <cell r="S53" t="str">
            <v>PK</v>
          </cell>
          <cell r="T53" t="str">
            <v>No pre-retrofit blower door available due to building already gutted.</v>
          </cell>
          <cell r="V53">
            <v>45</v>
          </cell>
        </row>
        <row r="54">
          <cell r="B54" t="str">
            <v>Buhs II</v>
          </cell>
          <cell r="D54">
            <v>1</v>
          </cell>
          <cell r="E54" t="str">
            <v>Durkee Brown Architects</v>
          </cell>
          <cell r="F54" t="str">
            <v>B</v>
          </cell>
          <cell r="G54" t="str">
            <v>Byggmeister</v>
          </cell>
          <cell r="H54" t="str">
            <v>Jamaica Plain</v>
          </cell>
          <cell r="I54">
            <v>3113</v>
          </cell>
          <cell r="J54" t="str">
            <v>Brick Row House</v>
          </cell>
          <cell r="K54">
            <v>3</v>
          </cell>
          <cell r="L54">
            <v>1918</v>
          </cell>
          <cell r="M54" t="str">
            <v>Staged retrofit - 4" of polyiso on the flat roof with 12"-18" cellulose cavity insulation (roof insulation ratios were pointed out in the first review), new furnaces, fan cyclers for ventilation, weatherstripping for entry doors, new exterior basement door</v>
          </cell>
          <cell r="N54" t="str">
            <v>In Construction</v>
          </cell>
          <cell r="O54" t="str">
            <v>1st application reviewed 2012-01-13, 2nd application reviewed 2012-03-13, additional information requested</v>
          </cell>
          <cell r="P54">
            <v>41113</v>
          </cell>
          <cell r="Q54">
            <v>41122</v>
          </cell>
          <cell r="R54" t="str">
            <v>unknown</v>
          </cell>
          <cell r="S54" t="str">
            <v>PK</v>
          </cell>
          <cell r="T54" t="str">
            <v>No pre-retrofit blower door available due to building already gutted.</v>
          </cell>
          <cell r="V54">
            <v>39</v>
          </cell>
        </row>
        <row r="55">
          <cell r="B55" t="str">
            <v>insert rows/move rows for in-construction projects above</v>
          </cell>
          <cell r="C55">
            <v>0</v>
          </cell>
          <cell r="D55">
            <v>2</v>
          </cell>
          <cell r="E55" t="str">
            <v>Kenji Takahashi (owner)</v>
          </cell>
          <cell r="F55">
            <v>0</v>
          </cell>
          <cell r="G55" t="str">
            <v>V.O. Design-Build, Inc.</v>
          </cell>
          <cell r="H55" t="str">
            <v>Watertown</v>
          </cell>
          <cell r="I55">
            <v>2899</v>
          </cell>
          <cell r="J55" t="str">
            <v>Duplex</v>
          </cell>
          <cell r="K55">
            <v>2</v>
          </cell>
          <cell r="L55">
            <v>1928</v>
          </cell>
          <cell r="M55" t="str">
            <v>Staged retrofit - 4" of polyiso on the roof with 5.5" ccSPF cavity insulation, 3" ccSPF on basement wall, 2" XPS on basement slab.  New dormer on rood, new dormer and UV atticspace windows replaced with R-5 units.  LowE storms installed over existing windows.  Heat pump for 2nd floor unit.  Furnace and air conditioning for 1st floor.</v>
          </cell>
          <cell r="N55" t="str">
            <v>In Construction</v>
          </cell>
          <cell r="O55" t="str">
            <v>1st application reviewed 2011-12-07, pre retrofit blower door site visit 2012-03-16, 2nd application reviewed ?</v>
          </cell>
          <cell r="P55">
            <v>40984</v>
          </cell>
          <cell r="Q55">
            <v>41157</v>
          </cell>
          <cell r="R55" t="str">
            <v>unknown</v>
          </cell>
          <cell r="S55" t="str">
            <v>PK</v>
          </cell>
          <cell r="V55">
            <v>35</v>
          </cell>
        </row>
        <row r="56">
          <cell r="B56" t="str">
            <v>Simmons</v>
          </cell>
          <cell r="D56">
            <v>2</v>
          </cell>
          <cell r="E56" t="str">
            <v>Kristen Simmons (Owner/Architect)</v>
          </cell>
          <cell r="F56" t="str">
            <v>A</v>
          </cell>
          <cell r="G56" t="str">
            <v>Synergy</v>
          </cell>
          <cell r="H56" t="str">
            <v>Boston</v>
          </cell>
          <cell r="I56">
            <v>1867</v>
          </cell>
          <cell r="J56" t="str">
            <v>Duplex</v>
          </cell>
          <cell r="K56">
            <v>2</v>
          </cell>
          <cell r="L56">
            <v>1902</v>
          </cell>
          <cell r="M56" t="str">
            <v>Comprehensive retrofit with addition; 5" polyiso on roof, 8" cellulose in rafters, 5" polyiso on walls, 3.5" cellulose in stud cavity, 5" ccSPF on basement walls, 2" XPS under slab, new windows, new boilers and ERV</v>
          </cell>
          <cell r="N56" t="str">
            <v>In Construction</v>
          </cell>
          <cell r="O56" t="str">
            <v>1st app 2011-07-12, 2nd app 2012-02-29</v>
          </cell>
          <cell r="P56">
            <v>40752</v>
          </cell>
          <cell r="Q56" t="str">
            <v>unknown</v>
          </cell>
          <cell r="R56" t="str">
            <v>unknown</v>
          </cell>
          <cell r="S56" t="str">
            <v>PK</v>
          </cell>
          <cell r="V56">
            <v>36</v>
          </cell>
        </row>
        <row r="57">
          <cell r="B57" t="str">
            <v>Fink-Simko</v>
          </cell>
          <cell r="C57" t="str">
            <v>Simko</v>
          </cell>
          <cell r="D57">
            <v>1</v>
          </cell>
          <cell r="E57" t="str">
            <v>Synergy</v>
          </cell>
          <cell r="F57" t="str">
            <v>B</v>
          </cell>
          <cell r="G57" t="str">
            <v>Synergy</v>
          </cell>
          <cell r="H57" t="str">
            <v>Melrose</v>
          </cell>
          <cell r="I57">
            <v>1576</v>
          </cell>
          <cell r="J57" t="str">
            <v>Colonial</v>
          </cell>
          <cell r="K57">
            <v>2</v>
          </cell>
          <cell r="L57">
            <v>1945</v>
          </cell>
          <cell r="M57" t="str">
            <v>Comprehensive retrofit - 6" polyiso on the roof, cellulose in the rafters, 4" polyiso on the walls, cellulose in the studs, 2" XPS and 1.5" Thermax at the basement walls, ccSPF at the rim joist, 2" XPS at the slab with drainage mat and subfloor, new Schuco windows as "Innies", new Schuco doors, Fantech HRV, Mitsubishi mini splits</v>
          </cell>
          <cell r="N57" t="str">
            <v>Pre-Construction</v>
          </cell>
          <cell r="O57" t="str">
            <v>Excel spreadsheet for 1st application received 2012-02-09, 1st application reviewed, 2012-03-06 site vist and blower door test</v>
          </cell>
          <cell r="P57">
            <v>40969</v>
          </cell>
          <cell r="Q57">
            <v>40969</v>
          </cell>
          <cell r="R57" t="str">
            <v>unknown</v>
          </cell>
          <cell r="S57" t="str">
            <v>HW</v>
          </cell>
          <cell r="V57">
            <v>40</v>
          </cell>
        </row>
        <row r="58">
          <cell r="B58" t="str">
            <v>Rosi-Kessel</v>
          </cell>
          <cell r="C58" t="str">
            <v>Boehm</v>
          </cell>
          <cell r="D58">
            <v>1</v>
          </cell>
          <cell r="E58" t="str">
            <v>Boehm Architecture</v>
          </cell>
          <cell r="F58" t="str">
            <v>A</v>
          </cell>
          <cell r="G58" t="str">
            <v>Synergy</v>
          </cell>
          <cell r="H58" t="str">
            <v>Roslindale</v>
          </cell>
          <cell r="I58">
            <v>2165</v>
          </cell>
          <cell r="J58" t="str">
            <v>Dutch colonial</v>
          </cell>
          <cell r="K58">
            <v>2</v>
          </cell>
          <cell r="L58">
            <v>1865</v>
          </cell>
          <cell r="M58" t="str">
            <v>Partial.  Exterior wall insulation, exterior roof insulation, foundation insulation, uninsulated slab, crawlspace insulated at framing, previous additions and retrofit, project includes some additions and proposes to retain some of previous renovation assemblies</v>
          </cell>
          <cell r="N58" t="str">
            <v>Pre-Construction</v>
          </cell>
          <cell r="O58" t="str">
            <v>1st application received 2012-01-25</v>
          </cell>
          <cell r="P58">
            <v>41067</v>
          </cell>
          <cell r="Q58">
            <v>0</v>
          </cell>
          <cell r="R58">
            <v>0</v>
          </cell>
          <cell r="S58" t="str">
            <v>KN</v>
          </cell>
          <cell r="T58" t="str">
            <v>Honorata and Ken reviewed 1st application; Katie will take project from here.</v>
          </cell>
          <cell r="V58">
            <v>42</v>
          </cell>
        </row>
        <row r="59">
          <cell r="B59" t="str">
            <v>Joyce</v>
          </cell>
          <cell r="D59">
            <v>2</v>
          </cell>
          <cell r="E59" t="str">
            <v>Synergy</v>
          </cell>
          <cell r="F59" t="str">
            <v>B</v>
          </cell>
          <cell r="G59" t="str">
            <v>Synergy</v>
          </cell>
          <cell r="H59" t="str">
            <v>Lancaster</v>
          </cell>
          <cell r="I59">
            <v>3172</v>
          </cell>
          <cell r="J59" t="str">
            <v>Colonial</v>
          </cell>
          <cell r="K59">
            <v>2</v>
          </cell>
          <cell r="L59">
            <v>1986</v>
          </cell>
          <cell r="M59" t="str">
            <v>Comprehensive retrofit, "chainsaw" roof retrofit - Exterior foam on roof deck and existing walls</v>
          </cell>
          <cell r="N59" t="str">
            <v>Pre-Construction</v>
          </cell>
          <cell r="O59" t="str">
            <v>1st application review sent to Ngrid on 2012-03-09</v>
          </cell>
          <cell r="Q59">
            <v>41046</v>
          </cell>
          <cell r="R59" t="str">
            <v>unknown</v>
          </cell>
          <cell r="S59" t="str">
            <v>KB</v>
          </cell>
          <cell r="T59" t="str">
            <v>Honorata and Ken reviewed 1st application; Katie will take project from here.</v>
          </cell>
          <cell r="V59">
            <v>47</v>
          </cell>
        </row>
        <row r="60">
          <cell r="B60" t="str">
            <v>insert rows/move rows for in-construction projects above</v>
          </cell>
          <cell r="V60">
            <v>49</v>
          </cell>
        </row>
        <row r="61">
          <cell r="B61" t="str">
            <v>O'Connor</v>
          </cell>
          <cell r="D61">
            <v>1</v>
          </cell>
          <cell r="E61" t="str">
            <v>Henry MacLean</v>
          </cell>
          <cell r="F61" t="str">
            <v>A</v>
          </cell>
          <cell r="H61" t="str">
            <v>Milton</v>
          </cell>
          <cell r="S61" t="str">
            <v>inactive</v>
          </cell>
          <cell r="T61" t="str">
            <v>withdrew after 1st application, project cost</v>
          </cell>
          <cell r="V61">
            <v>50</v>
          </cell>
        </row>
        <row r="62">
          <cell r="B62" t="str">
            <v>Cordeiro</v>
          </cell>
          <cell r="D62">
            <v>1</v>
          </cell>
          <cell r="E62" t="str">
            <v>Living Structures, Inc.</v>
          </cell>
          <cell r="F62" t="str">
            <v>A</v>
          </cell>
          <cell r="H62" t="str">
            <v>Dorchester</v>
          </cell>
          <cell r="I62">
            <v>2586</v>
          </cell>
          <cell r="J62" t="str">
            <v>Colonial</v>
          </cell>
          <cell r="K62">
            <v>2</v>
          </cell>
          <cell r="L62">
            <v>1804</v>
          </cell>
          <cell r="N62" t="str">
            <v>1st application</v>
          </cell>
          <cell r="O62" t="str">
            <v>1st application received 2012-02-17, 1st application reviewed 2012-04-03</v>
          </cell>
          <cell r="Q62" t="str">
            <v>unknown</v>
          </cell>
          <cell r="R62" t="str">
            <v>unknown</v>
          </cell>
          <cell r="S62" t="str">
            <v>inactive</v>
          </cell>
          <cell r="V62">
            <v>51</v>
          </cell>
        </row>
        <row r="63">
          <cell r="B63" t="str">
            <v>Sautman</v>
          </cell>
          <cell r="D63">
            <v>1</v>
          </cell>
          <cell r="E63" t="str">
            <v>Coldham &amp; Hartman</v>
          </cell>
          <cell r="H63" t="str">
            <v>West Stockbridge</v>
          </cell>
          <cell r="S63" t="str">
            <v>inactive</v>
          </cell>
          <cell r="T63" t="str">
            <v>2011-10-19 withdrew after 1st application, ranch with complicated roof.  Did not want to go all the way to DER targets</v>
          </cell>
          <cell r="V63">
            <v>52</v>
          </cell>
        </row>
        <row r="64">
          <cell r="B64" t="str">
            <v>Women's Development Corporation</v>
          </cell>
          <cell r="C64" t="str">
            <v>WDC Rhode Island</v>
          </cell>
          <cell r="D64">
            <v>3</v>
          </cell>
          <cell r="E64" t="str">
            <v>Calson Construction Corporation</v>
          </cell>
          <cell r="F64" t="str">
            <v>B</v>
          </cell>
          <cell r="G64" t="str">
            <v>Calson Construction Corporation</v>
          </cell>
          <cell r="H64" t="str">
            <v>Pawtucket, RI</v>
          </cell>
          <cell r="I64">
            <v>2250</v>
          </cell>
          <cell r="J64" t="str">
            <v>Victorian</v>
          </cell>
          <cell r="K64">
            <v>3</v>
          </cell>
          <cell r="L64">
            <v>1900</v>
          </cell>
          <cell r="M64" t="str">
            <v>exterior insulation, roof insulation, basement wall insulation, existing slab insulation, storm windows, new entry doors, on demand direct vent boilers for DHW and heat, direct vent bathroom fans and range hoods</v>
          </cell>
          <cell r="N64" t="str">
            <v>1st application</v>
          </cell>
          <cell r="O64" t="str">
            <v>1st application reviewed 2011-04-29</v>
          </cell>
          <cell r="S64" t="str">
            <v>inactive</v>
          </cell>
          <cell r="T64" t="str">
            <v>withdrew after 1st application</v>
          </cell>
          <cell r="V64">
            <v>53</v>
          </cell>
        </row>
        <row r="65">
          <cell r="B65" t="str">
            <v>Flood</v>
          </cell>
          <cell r="D65">
            <v>1</v>
          </cell>
          <cell r="S65" t="str">
            <v>inactive</v>
          </cell>
          <cell r="T65" t="str">
            <v>2011-09-22 Floods dropped out of DER progragm due to setback problems.</v>
          </cell>
          <cell r="V65">
            <v>54</v>
          </cell>
        </row>
        <row r="66">
          <cell r="B66" t="str">
            <v>Graves</v>
          </cell>
          <cell r="D66">
            <v>1</v>
          </cell>
          <cell r="E66" t="str">
            <v>Synergy</v>
          </cell>
          <cell r="F66" t="str">
            <v>B</v>
          </cell>
          <cell r="G66" t="str">
            <v>Synergy</v>
          </cell>
          <cell r="H66" t="str">
            <v>Marblehead</v>
          </cell>
          <cell r="I66">
            <v>3365</v>
          </cell>
          <cell r="J66" t="str">
            <v>Single family</v>
          </cell>
          <cell r="K66">
            <v>3</v>
          </cell>
          <cell r="L66">
            <v>1845</v>
          </cell>
          <cell r="M66" t="str">
            <v>strange configuration with recent addition ! Enclosed pool!</v>
          </cell>
          <cell r="N66" t="str">
            <v>1st application</v>
          </cell>
          <cell r="O66" t="str">
            <v>1st application rejected on account of moisture and thermal issues</v>
          </cell>
          <cell r="S66" t="str">
            <v>inactive</v>
          </cell>
          <cell r="T66" t="str">
            <v>significant internal discussions and communication with project regarding the enclosed pool.  BSC present a series of measures the project would need to include to safely manage the loads from this feature.  The applicant opted to withdraw.</v>
          </cell>
          <cell r="V66">
            <v>55</v>
          </cell>
        </row>
        <row r="67">
          <cell r="B67" t="str">
            <v>Kimball</v>
          </cell>
          <cell r="D67">
            <v>1</v>
          </cell>
          <cell r="E67" t="str">
            <v>Synergy</v>
          </cell>
          <cell r="F67" t="str">
            <v>B</v>
          </cell>
          <cell r="G67" t="str">
            <v>Synergy</v>
          </cell>
          <cell r="H67" t="str">
            <v>Westborough</v>
          </cell>
          <cell r="K67">
            <v>1</v>
          </cell>
          <cell r="L67">
            <v>1912</v>
          </cell>
          <cell r="M67" t="str">
            <v>partial</v>
          </cell>
          <cell r="N67" t="str">
            <v>1st application</v>
          </cell>
          <cell r="O67" t="str">
            <v>Incomplete 1st application sent asking BSC (2010-11-1) about how to proceed with a partial roof retrofit; BSC responded to DL 11/4</v>
          </cell>
          <cell r="S67" t="str">
            <v>inactive</v>
          </cell>
          <cell r="V67">
            <v>56</v>
          </cell>
        </row>
        <row r="68">
          <cell r="B68" t="str">
            <v>Red House Farm / Paul Overgaag</v>
          </cell>
          <cell r="D68">
            <v>1</v>
          </cell>
          <cell r="E68" t="str">
            <v>Clean and Smart (Jonah DeCola)</v>
          </cell>
          <cell r="F68" t="str">
            <v>C</v>
          </cell>
          <cell r="G68" t="str">
            <v/>
          </cell>
          <cell r="H68" t="str">
            <v>Winchendon</v>
          </cell>
          <cell r="I68">
            <v>2718</v>
          </cell>
          <cell r="J68" t="str">
            <v>Greek Revival Farmhouse</v>
          </cell>
          <cell r="K68">
            <v>3</v>
          </cell>
          <cell r="L68">
            <v>1805</v>
          </cell>
          <cell r="M68" t="str">
            <v>exterior insulating sheathing
separate attached structures</v>
          </cell>
          <cell r="N68" t="str">
            <v>Inactive</v>
          </cell>
          <cell r="O68" t="str">
            <v>sparse communication after first application, consultant reported in June that project is still active</v>
          </cell>
          <cell r="S68" t="str">
            <v>inactive</v>
          </cell>
          <cell r="V68">
            <v>57</v>
          </cell>
        </row>
        <row r="69">
          <cell r="B69" t="str">
            <v>Schartman</v>
          </cell>
          <cell r="D69">
            <v>1</v>
          </cell>
          <cell r="H69" t="str">
            <v>Newburyport</v>
          </cell>
          <cell r="N69" t="str">
            <v>sent application 07-19-2009</v>
          </cell>
          <cell r="S69" t="str">
            <v>inactive</v>
          </cell>
          <cell r="V69">
            <v>58</v>
          </cell>
        </row>
        <row r="70">
          <cell r="B70" t="str">
            <v>Stannard</v>
          </cell>
          <cell r="D70">
            <v>1</v>
          </cell>
          <cell r="E70" t="str">
            <v>Synergy</v>
          </cell>
          <cell r="F70" t="str">
            <v>C</v>
          </cell>
          <cell r="G70" t="str">
            <v>Zero Energy Design</v>
          </cell>
          <cell r="H70" t="str">
            <v>Sturbridge</v>
          </cell>
          <cell r="I70">
            <v>4428</v>
          </cell>
          <cell r="J70" t="str">
            <v>Modern</v>
          </cell>
          <cell r="K70">
            <v>1</v>
          </cell>
          <cell r="M70" t="str">
            <v>Partial retrofit -- basement not being done, and only subset of windows</v>
          </cell>
          <cell r="N70" t="str">
            <v>1st application</v>
          </cell>
          <cell r="O70" t="str">
            <v>1st application approved 2010-12-16</v>
          </cell>
          <cell r="S70" t="str">
            <v>inactive</v>
          </cell>
          <cell r="V70">
            <v>59</v>
          </cell>
        </row>
        <row r="71">
          <cell r="B71" t="str">
            <v>Chan</v>
          </cell>
          <cell r="D71">
            <v>1</v>
          </cell>
          <cell r="S71" t="str">
            <v>inactive</v>
          </cell>
          <cell r="V71">
            <v>60</v>
          </cell>
        </row>
        <row r="72">
          <cell r="B72" t="str">
            <v>Livermore</v>
          </cell>
          <cell r="C72" t="str">
            <v>Livermore/O'Malley</v>
          </cell>
          <cell r="D72">
            <v>2</v>
          </cell>
          <cell r="E72" t="str">
            <v>John Livermore</v>
          </cell>
          <cell r="F72" t="str">
            <v>C</v>
          </cell>
          <cell r="G72" t="str">
            <v>Caleb Ewing, New England Green Build</v>
          </cell>
          <cell r="H72" t="str">
            <v>Marblehead</v>
          </cell>
          <cell r="I72">
            <v>2000</v>
          </cell>
          <cell r="J72" t="str">
            <v>Farmhouse</v>
          </cell>
          <cell r="K72">
            <v>3</v>
          </cell>
          <cell r="L72">
            <v>1880</v>
          </cell>
          <cell r="M72" t="str">
            <v>Roof-only partial DER - rigid insulation above roof deck, CC spray foam in existing rafter bays, updated mechanical equipment, replacement windows</v>
          </cell>
          <cell r="N72" t="str">
            <v>In construction/1st application sent back on 2011-08-19</v>
          </cell>
          <cell r="Q72">
            <v>40766</v>
          </cell>
          <cell r="S72" t="str">
            <v>inactive</v>
          </cell>
          <cell r="T72" t="str">
            <v>BSC (KB) did pre-construction blower door test on July 26, 2011. Window installation began before sending back first application. - Project has not installed rigid foam on roof and is now considering putting 2" foam on walls; DER may not move forward; Project is dropping out of pilot</v>
          </cell>
          <cell r="V72">
            <v>61</v>
          </cell>
        </row>
        <row r="73">
          <cell r="B73" t="str">
            <v>Richon</v>
          </cell>
          <cell r="C73" t="str">
            <v>Tobias Richon</v>
          </cell>
          <cell r="D73">
            <v>1</v>
          </cell>
          <cell r="E73" t="str">
            <v>Tobias Richon</v>
          </cell>
          <cell r="F73" t="str">
            <v>B</v>
          </cell>
          <cell r="G73" t="str">
            <v>Geoffrey H. Richon  Co</v>
          </cell>
          <cell r="H73" t="str">
            <v>Gloucester</v>
          </cell>
          <cell r="I73">
            <v>990</v>
          </cell>
          <cell r="J73" t="str">
            <v>Single family</v>
          </cell>
          <cell r="K73">
            <v>1</v>
          </cell>
          <cell r="L73">
            <v>1920</v>
          </cell>
          <cell r="M73" t="str">
            <v>small cottage, one 1994 addition</v>
          </cell>
          <cell r="N73" t="str">
            <v>Awaiting 2nd application</v>
          </cell>
          <cell r="O73" t="str">
            <v>1st application review sent 2011-05-06</v>
          </cell>
          <cell r="Q73">
            <v>40674</v>
          </cell>
          <cell r="S73" t="str">
            <v>inactive</v>
          </cell>
          <cell r="T73" t="str">
            <v>Told by Oliver on 2012-02-17 that project will  not be moving forward.</v>
          </cell>
          <cell r="V73">
            <v>62</v>
          </cell>
        </row>
        <row r="74">
          <cell r="B74" t="str">
            <v>Schneider</v>
          </cell>
          <cell r="D74">
            <v>1</v>
          </cell>
          <cell r="E74" t="str">
            <v>Henry MacLean</v>
          </cell>
          <cell r="F74" t="str">
            <v>A</v>
          </cell>
          <cell r="H74" t="str">
            <v>Norton</v>
          </cell>
          <cell r="S74" t="str">
            <v>inactive</v>
          </cell>
          <cell r="V74">
            <v>63</v>
          </cell>
        </row>
        <row r="75">
          <cell r="B75" t="str">
            <v>Harwood</v>
          </cell>
          <cell r="D75">
            <v>1</v>
          </cell>
          <cell r="E75" t="str">
            <v>Wright Builders</v>
          </cell>
          <cell r="F75" t="str">
            <v>B</v>
          </cell>
          <cell r="G75" t="str">
            <v>Wright Builders</v>
          </cell>
          <cell r="H75" t="str">
            <v>Lenox</v>
          </cell>
          <cell r="I75">
            <v>3355</v>
          </cell>
          <cell r="J75" t="str">
            <v>Victorian</v>
          </cell>
          <cell r="K75">
            <v>2</v>
          </cell>
          <cell r="L75">
            <v>1912</v>
          </cell>
          <cell r="N75" t="str">
            <v>1st application</v>
          </cell>
          <cell r="S75" t="str">
            <v>inactive</v>
          </cell>
          <cell r="V75">
            <v>64</v>
          </cell>
        </row>
        <row r="76">
          <cell r="B76" t="str">
            <v>Brekken</v>
          </cell>
          <cell r="D76">
            <v>1</v>
          </cell>
          <cell r="H76" t="str">
            <v>Arlington</v>
          </cell>
          <cell r="I76">
            <v>1930</v>
          </cell>
          <cell r="J76" t="str">
            <v>Cape</v>
          </cell>
          <cell r="K76">
            <v>2</v>
          </cell>
          <cell r="L76">
            <v>1962</v>
          </cell>
          <cell r="M76" t="str">
            <v>Cape to Colonial conversion; insulation under roof deck; 4" polyiso on ext walls; insulation on foundation walls TBD; uninsulated floors; existing gas boiler to remain; SDHV</v>
          </cell>
          <cell r="N76" t="str">
            <v>Awaiting 2nd application</v>
          </cell>
          <cell r="O76" t="str">
            <v>1st application reviewed 2012-01-16</v>
          </cell>
          <cell r="S76" t="str">
            <v>inactive</v>
          </cell>
          <cell r="V76">
            <v>65</v>
          </cell>
        </row>
        <row r="77">
          <cell r="G77" t="str">
            <v/>
          </cell>
          <cell r="V77">
            <v>66</v>
          </cell>
        </row>
        <row r="78">
          <cell r="B78" t="str">
            <v>Outside of National Grid DER Pilot - NStar Customers</v>
          </cell>
          <cell r="V78">
            <v>67</v>
          </cell>
        </row>
        <row r="79">
          <cell r="B79" t="str">
            <v>25 Ellington / Liane C</v>
          </cell>
          <cell r="C79" t="str">
            <v>Rapid Retrofit</v>
          </cell>
          <cell r="E79" t="str">
            <v>Catanzaro</v>
          </cell>
          <cell r="F79" t="str">
            <v>C</v>
          </cell>
          <cell r="G79" t="str">
            <v>Synergy</v>
          </cell>
          <cell r="H79" t="str">
            <v>Somerville</v>
          </cell>
          <cell r="I79">
            <v>4160</v>
          </cell>
          <cell r="J79" t="str">
            <v>3 family</v>
          </cell>
          <cell r="K79">
            <v>3</v>
          </cell>
          <cell r="L79">
            <v>1910</v>
          </cell>
          <cell r="M79" t="str">
            <v>exterior insulating sheathing</v>
          </cell>
          <cell r="N79" t="str">
            <v>In construction</v>
          </cell>
          <cell r="O79" t="str">
            <v>exterior sheathing and windows in process</v>
          </cell>
          <cell r="Q79">
            <v>40330</v>
          </cell>
          <cell r="R79">
            <v>40391</v>
          </cell>
          <cell r="S79" t="str">
            <v>RO</v>
          </cell>
          <cell r="V79">
            <v>68</v>
          </cell>
        </row>
        <row r="80">
          <cell r="G80" t="str">
            <v/>
          </cell>
          <cell r="V80">
            <v>69</v>
          </cell>
        </row>
        <row r="81">
          <cell r="B81" t="str">
            <v>Other Building America Retrofit Projects</v>
          </cell>
          <cell r="V81">
            <v>70</v>
          </cell>
        </row>
        <row r="82">
          <cell r="B82" t="str">
            <v>Freeport Retrofit</v>
          </cell>
          <cell r="C82" t="str">
            <v>Energy Circle, Mallet DER</v>
          </cell>
          <cell r="E82" t="str">
            <v>Building Science Corporation</v>
          </cell>
          <cell r="F82" t="str">
            <v>A</v>
          </cell>
          <cell r="G82" t="str">
            <v>Warren Construction Group</v>
          </cell>
          <cell r="H82" t="str">
            <v>Freeport, ME</v>
          </cell>
          <cell r="I82">
            <v>1600</v>
          </cell>
          <cell r="K82">
            <v>2</v>
          </cell>
          <cell r="L82">
            <v>1875</v>
          </cell>
          <cell r="M82" t="str">
            <v xml:space="preserve">Retrofit of historic workers cottage </v>
          </cell>
          <cell r="N82" t="str">
            <v xml:space="preserve">awaitng confirmation of funding </v>
          </cell>
          <cell r="O82" t="str">
            <v>it is uncertain whether project will proceed along the line of BSC recommendations or with BSC as Architect</v>
          </cell>
          <cell r="Q82">
            <v>40422</v>
          </cell>
          <cell r="R82">
            <v>40695</v>
          </cell>
          <cell r="S82" t="str">
            <v>KB</v>
          </cell>
          <cell r="T82" t="str">
            <v>phased construction.  Enclosure first.  Mechanicals and interior fit out in later phases pending funding.</v>
          </cell>
          <cell r="V82">
            <v>71</v>
          </cell>
        </row>
        <row r="83">
          <cell r="G83" t="str">
            <v/>
          </cell>
        </row>
        <row r="84">
          <cell r="G84" t="str">
            <v/>
          </cell>
        </row>
      </sheetData>
      <sheetData sheetId="1">
        <row r="8">
          <cell r="B8" t="str">
            <v>Clark</v>
          </cell>
          <cell r="C8">
            <v>1</v>
          </cell>
          <cell r="D8" t="str">
            <v>Belchertown</v>
          </cell>
          <cell r="E8">
            <v>1352</v>
          </cell>
          <cell r="F8" t="str">
            <v>Cape</v>
          </cell>
          <cell r="G8">
            <v>1.5</v>
          </cell>
          <cell r="H8">
            <v>1760</v>
          </cell>
          <cell r="I8" t="str">
            <v>Complete</v>
          </cell>
          <cell r="J8" t="str">
            <v>Y</v>
          </cell>
          <cell r="K8" t="str">
            <v>W.A.G.</v>
          </cell>
          <cell r="L8" t="str">
            <v>Excluded</v>
          </cell>
          <cell r="M8" t="str">
            <v>Included</v>
          </cell>
          <cell r="N8">
            <v>1435</v>
          </cell>
          <cell r="O8">
            <v>1907</v>
          </cell>
          <cell r="P8">
            <v>3726</v>
          </cell>
          <cell r="Q8">
            <v>4066</v>
          </cell>
          <cell r="R8">
            <v>9448</v>
          </cell>
          <cell r="S8">
            <v>14972</v>
          </cell>
          <cell r="T8">
            <v>9079</v>
          </cell>
          <cell r="U8">
            <v>468</v>
          </cell>
          <cell r="V8">
            <v>57.656646909398809</v>
          </cell>
          <cell r="W8">
            <v>1.8755009350788139</v>
          </cell>
          <cell r="X8">
            <v>2.4366612989801397</v>
          </cell>
          <cell r="Y8">
            <v>0.11510083620265617</v>
          </cell>
          <cell r="Z8">
            <v>6.3268292682926832</v>
          </cell>
          <cell r="AA8">
            <v>0.2454116413214473</v>
          </cell>
        </row>
        <row r="9">
          <cell r="B9" t="str">
            <v>Brownsberger</v>
          </cell>
          <cell r="C9">
            <v>2</v>
          </cell>
          <cell r="D9" t="str">
            <v>Belmont</v>
          </cell>
          <cell r="E9">
            <v>2728</v>
          </cell>
          <cell r="F9" t="str">
            <v>2 family</v>
          </cell>
          <cell r="G9">
            <v>3</v>
          </cell>
          <cell r="H9">
            <v>1925</v>
          </cell>
          <cell r="I9" t="str">
            <v>Complete</v>
          </cell>
          <cell r="J9" t="str">
            <v>Y</v>
          </cell>
          <cell r="L9" t="str">
            <v>Excluded</v>
          </cell>
          <cell r="M9" t="str">
            <v>Included</v>
          </cell>
          <cell r="N9">
            <v>3417</v>
          </cell>
          <cell r="O9">
            <v>4768</v>
          </cell>
          <cell r="P9">
            <v>7468</v>
          </cell>
          <cell r="Q9">
            <v>9093</v>
          </cell>
          <cell r="R9">
            <v>36898</v>
          </cell>
          <cell r="S9">
            <v>47706</v>
          </cell>
          <cell r="T9">
            <v>5700</v>
          </cell>
          <cell r="U9">
            <v>590</v>
          </cell>
          <cell r="V9">
            <v>9.2687950566426363</v>
          </cell>
          <cell r="W9">
            <v>0.74204502578292031</v>
          </cell>
          <cell r="X9">
            <v>0.76325656132833419</v>
          </cell>
          <cell r="Y9">
            <v>6.4885076432420544E-2</v>
          </cell>
          <cell r="Z9">
            <v>1.6681299385425812</v>
          </cell>
          <cell r="AA9">
            <v>0.12374161073825503</v>
          </cell>
        </row>
        <row r="10">
          <cell r="B10" t="str">
            <v>Tweedly</v>
          </cell>
          <cell r="C10">
            <v>1</v>
          </cell>
          <cell r="D10" t="str">
            <v>Millbury</v>
          </cell>
          <cell r="E10">
            <v>1100</v>
          </cell>
          <cell r="F10" t="str">
            <v>Cape</v>
          </cell>
          <cell r="G10">
            <v>1.5</v>
          </cell>
          <cell r="H10">
            <v>1953</v>
          </cell>
          <cell r="I10" t="str">
            <v>Complete</v>
          </cell>
          <cell r="J10" t="str">
            <v>?</v>
          </cell>
          <cell r="L10" t="str">
            <v>Included</v>
          </cell>
          <cell r="M10" t="str">
            <v>Included</v>
          </cell>
          <cell r="N10">
            <v>1868</v>
          </cell>
          <cell r="O10">
            <v>1868</v>
          </cell>
          <cell r="P10">
            <v>4278</v>
          </cell>
          <cell r="Q10">
            <v>4278</v>
          </cell>
          <cell r="R10">
            <v>17000</v>
          </cell>
          <cell r="S10">
            <v>17000</v>
          </cell>
          <cell r="T10">
            <v>2860</v>
          </cell>
          <cell r="U10">
            <v>402</v>
          </cell>
          <cell r="V10">
            <v>10.4</v>
          </cell>
          <cell r="W10">
            <v>1.4188235294117648</v>
          </cell>
          <cell r="X10">
            <v>0.66853669939223936</v>
          </cell>
          <cell r="Y10">
            <v>9.3969144460028048E-2</v>
          </cell>
          <cell r="Z10">
            <v>1.5310492505353319</v>
          </cell>
          <cell r="AA10">
            <v>0.21520342612419699</v>
          </cell>
        </row>
        <row r="11">
          <cell r="B11" t="str">
            <v>Koh</v>
          </cell>
          <cell r="C11">
            <v>1</v>
          </cell>
          <cell r="D11" t="str">
            <v>Milton</v>
          </cell>
          <cell r="E11">
            <v>1600</v>
          </cell>
          <cell r="F11" t="str">
            <v>Garrison Colonial</v>
          </cell>
          <cell r="G11">
            <v>2</v>
          </cell>
          <cell r="H11">
            <v>1960</v>
          </cell>
          <cell r="I11" t="str">
            <v>Complete</v>
          </cell>
          <cell r="J11" t="str">
            <v>Y</v>
          </cell>
          <cell r="K11" t="str">
            <v>take-off from drawings</v>
          </cell>
          <cell r="L11" t="str">
            <v>Included</v>
          </cell>
          <cell r="M11" t="str">
            <v>Included</v>
          </cell>
          <cell r="N11">
            <v>2368</v>
          </cell>
          <cell r="O11">
            <v>2368</v>
          </cell>
          <cell r="P11">
            <v>3408</v>
          </cell>
          <cell r="Q11">
            <v>3740</v>
          </cell>
          <cell r="R11">
            <v>22457.599999999999</v>
          </cell>
          <cell r="S11">
            <v>24457.599999999999</v>
          </cell>
          <cell r="T11">
            <v>1695</v>
          </cell>
          <cell r="U11">
            <v>584</v>
          </cell>
          <cell r="V11">
            <v>4.5285337703049304</v>
          </cell>
          <cell r="W11">
            <v>1.4326835012429675</v>
          </cell>
          <cell r="X11">
            <v>0.49735915492957744</v>
          </cell>
          <cell r="Y11">
            <v>0.15614973262032086</v>
          </cell>
          <cell r="Z11">
            <v>0.71579391891891897</v>
          </cell>
          <cell r="AA11">
            <v>0.24662162162162163</v>
          </cell>
        </row>
        <row r="12">
          <cell r="B12" t="str">
            <v>Hall</v>
          </cell>
          <cell r="C12">
            <v>1</v>
          </cell>
          <cell r="D12" t="str">
            <v>Quincy</v>
          </cell>
          <cell r="E12">
            <v>1808</v>
          </cell>
          <cell r="F12" t="str">
            <v>bungalow</v>
          </cell>
          <cell r="G12">
            <v>1.5</v>
          </cell>
          <cell r="H12">
            <v>1905</v>
          </cell>
          <cell r="I12" t="str">
            <v>Complete</v>
          </cell>
          <cell r="J12" t="str">
            <v>Y</v>
          </cell>
          <cell r="K12" t="str">
            <v>take-off from model</v>
          </cell>
          <cell r="L12" t="str">
            <v>Included</v>
          </cell>
          <cell r="M12" t="str">
            <v>Included</v>
          </cell>
          <cell r="N12">
            <v>3484</v>
          </cell>
          <cell r="O12">
            <v>4576</v>
          </cell>
          <cell r="P12">
            <v>5340</v>
          </cell>
          <cell r="Q12">
            <v>6806</v>
          </cell>
          <cell r="R12">
            <v>16350</v>
          </cell>
          <cell r="S12">
            <v>36346</v>
          </cell>
          <cell r="T12">
            <v>5050</v>
          </cell>
          <cell r="U12">
            <v>762</v>
          </cell>
          <cell r="V12">
            <v>18.53</v>
          </cell>
          <cell r="W12">
            <v>1.2579100863919002</v>
          </cell>
          <cell r="X12">
            <v>0.94569288389513106</v>
          </cell>
          <cell r="Y12">
            <v>0.11196003526300323</v>
          </cell>
          <cell r="Z12">
            <v>1.4494833524684272</v>
          </cell>
          <cell r="AA12">
            <v>0.16652097902097901</v>
          </cell>
        </row>
        <row r="13">
          <cell r="B13" t="str">
            <v>Venable-Hwang</v>
          </cell>
          <cell r="C13">
            <v>2</v>
          </cell>
          <cell r="D13" t="str">
            <v>Arlington</v>
          </cell>
          <cell r="E13">
            <v>2112</v>
          </cell>
          <cell r="F13" t="str">
            <v>2 family</v>
          </cell>
          <cell r="G13">
            <v>2</v>
          </cell>
          <cell r="H13">
            <v>1910</v>
          </cell>
          <cell r="I13" t="str">
            <v>Complete</v>
          </cell>
          <cell r="K13" t="str">
            <v>take-off from drawings</v>
          </cell>
          <cell r="L13" t="str">
            <v>Excluded</v>
          </cell>
          <cell r="M13" t="str">
            <v>Excluded</v>
          </cell>
          <cell r="N13">
            <v>2502</v>
          </cell>
          <cell r="O13">
            <v>3627</v>
          </cell>
          <cell r="P13">
            <v>5153</v>
          </cell>
          <cell r="Q13">
            <v>5925</v>
          </cell>
          <cell r="R13">
            <v>20157</v>
          </cell>
          <cell r="S13">
            <v>29648</v>
          </cell>
          <cell r="T13">
            <v>8730</v>
          </cell>
          <cell r="U13">
            <v>3586</v>
          </cell>
          <cell r="V13">
            <v>25.986009822890313</v>
          </cell>
          <cell r="W13">
            <v>7.2571505666486775</v>
          </cell>
          <cell r="X13">
            <v>1.6941587424801088</v>
          </cell>
          <cell r="Y13">
            <v>0.60523206751054848</v>
          </cell>
          <cell r="Z13">
            <v>3.4892086330935252</v>
          </cell>
          <cell r="AA13">
            <v>0.98869589192169838</v>
          </cell>
        </row>
        <row r="14">
          <cell r="B14" t="str">
            <v>Lavine</v>
          </cell>
          <cell r="C14">
            <v>1</v>
          </cell>
          <cell r="D14" t="str">
            <v>Newton</v>
          </cell>
          <cell r="E14">
            <v>1724</v>
          </cell>
          <cell r="F14" t="str">
            <v>Colonial</v>
          </cell>
          <cell r="G14">
            <v>1</v>
          </cell>
          <cell r="H14">
            <v>1930</v>
          </cell>
          <cell r="I14" t="str">
            <v>Complete</v>
          </cell>
          <cell r="J14" t="str">
            <v>Y</v>
          </cell>
          <cell r="N14">
            <v>1815</v>
          </cell>
          <cell r="O14">
            <v>2199</v>
          </cell>
          <cell r="P14">
            <v>3729</v>
          </cell>
          <cell r="Q14">
            <v>4337</v>
          </cell>
          <cell r="R14">
            <v>18831</v>
          </cell>
          <cell r="S14">
            <v>21904</v>
          </cell>
          <cell r="T14">
            <v>3199</v>
          </cell>
          <cell r="U14">
            <v>1299</v>
          </cell>
          <cell r="V14">
            <v>10.192767245499441</v>
          </cell>
          <cell r="W14">
            <v>3.558254200146092</v>
          </cell>
          <cell r="X14">
            <v>0.857870742826495</v>
          </cell>
          <cell r="Y14">
            <v>0.29951579432787639</v>
          </cell>
          <cell r="Z14">
            <v>1.7625344352617081</v>
          </cell>
          <cell r="AA14">
            <v>0.59072305593451568</v>
          </cell>
        </row>
        <row r="15">
          <cell r="B15" t="str">
            <v>Buhs</v>
          </cell>
          <cell r="C15">
            <v>3</v>
          </cell>
          <cell r="D15" t="str">
            <v>Jamaica Plain</v>
          </cell>
          <cell r="E15">
            <v>3885</v>
          </cell>
          <cell r="F15" t="str">
            <v>3-family</v>
          </cell>
          <cell r="G15">
            <v>3</v>
          </cell>
          <cell r="H15">
            <v>1907</v>
          </cell>
          <cell r="I15" t="str">
            <v>Complete</v>
          </cell>
          <cell r="N15">
            <v>3885</v>
          </cell>
          <cell r="O15">
            <v>3885</v>
          </cell>
          <cell r="P15">
            <v>6308</v>
          </cell>
          <cell r="Q15">
            <v>7456</v>
          </cell>
          <cell r="R15">
            <v>42586</v>
          </cell>
          <cell r="S15">
            <v>42586</v>
          </cell>
          <cell r="T15">
            <v>7729</v>
          </cell>
          <cell r="U15">
            <v>1802</v>
          </cell>
          <cell r="V15">
            <v>10.889494199971821</v>
          </cell>
          <cell r="W15">
            <v>2.5388625369839852</v>
          </cell>
          <cell r="X15">
            <v>1.2252694990488269</v>
          </cell>
          <cell r="Y15">
            <v>0.24168454935622319</v>
          </cell>
          <cell r="Z15">
            <v>1.9894465894465894</v>
          </cell>
          <cell r="AA15">
            <v>0.46383526383526386</v>
          </cell>
        </row>
        <row r="16">
          <cell r="B16" t="str">
            <v>Wick</v>
          </cell>
          <cell r="C16">
            <v>1</v>
          </cell>
          <cell r="D16" t="str">
            <v>Northampton</v>
          </cell>
          <cell r="E16">
            <v>2032</v>
          </cell>
          <cell r="F16" t="str">
            <v>Victorian</v>
          </cell>
          <cell r="G16">
            <v>1</v>
          </cell>
          <cell r="H16">
            <v>1859</v>
          </cell>
          <cell r="I16" t="str">
            <v>Complete</v>
          </cell>
          <cell r="M16" t="str">
            <v>Included</v>
          </cell>
          <cell r="N16">
            <v>2032</v>
          </cell>
          <cell r="O16">
            <v>2747</v>
          </cell>
          <cell r="P16">
            <v>6711</v>
          </cell>
          <cell r="Q16">
            <v>7798</v>
          </cell>
          <cell r="S16">
            <v>34624</v>
          </cell>
          <cell r="T16">
            <v>6155</v>
          </cell>
          <cell r="U16">
            <v>473</v>
          </cell>
          <cell r="W16">
            <v>0.81966266173752311</v>
          </cell>
          <cell r="X16">
            <v>0.91715094620771864</v>
          </cell>
          <cell r="Y16">
            <v>6.0656578609899973E-2</v>
          </cell>
          <cell r="Z16">
            <v>3.0290354330708662</v>
          </cell>
          <cell r="AA16">
            <v>0.17218784128139789</v>
          </cell>
        </row>
        <row r="17">
          <cell r="B17" t="str">
            <v>Habitat for Humanity of North Central Massachusetts</v>
          </cell>
          <cell r="C17">
            <v>1</v>
          </cell>
          <cell r="D17" t="str">
            <v>Lancaster</v>
          </cell>
          <cell r="E17">
            <v>908</v>
          </cell>
          <cell r="F17" t="str">
            <v>Cape to Colonial</v>
          </cell>
          <cell r="G17">
            <v>2</v>
          </cell>
          <cell r="H17">
            <v>1900</v>
          </cell>
          <cell r="I17" t="str">
            <v>Complete</v>
          </cell>
          <cell r="J17" t="str">
            <v>Y</v>
          </cell>
          <cell r="N17">
            <v>980</v>
          </cell>
          <cell r="O17">
            <v>1440</v>
          </cell>
          <cell r="P17">
            <v>2583</v>
          </cell>
          <cell r="Q17">
            <v>3222</v>
          </cell>
          <cell r="R17">
            <v>7080</v>
          </cell>
          <cell r="S17">
            <v>12336</v>
          </cell>
          <cell r="T17">
            <v>4254</v>
          </cell>
          <cell r="U17">
            <v>293</v>
          </cell>
          <cell r="V17">
            <v>36.050847457627121</v>
          </cell>
          <cell r="W17">
            <v>1.4250972762645915</v>
          </cell>
          <cell r="X17">
            <v>1.6469221835075494</v>
          </cell>
          <cell r="Y17">
            <v>9.0937306021104905E-2</v>
          </cell>
          <cell r="Z17">
            <v>4.3408163265306126</v>
          </cell>
          <cell r="AA17">
            <v>0.20347222222222222</v>
          </cell>
        </row>
        <row r="18">
          <cell r="B18" t="str">
            <v>Aquiline</v>
          </cell>
          <cell r="C18">
            <v>1</v>
          </cell>
          <cell r="D18" t="str">
            <v>Brookline</v>
          </cell>
          <cell r="E18">
            <v>2284</v>
          </cell>
          <cell r="F18" t="str">
            <v>Victorian</v>
          </cell>
          <cell r="G18">
            <v>3</v>
          </cell>
          <cell r="H18">
            <v>1899</v>
          </cell>
          <cell r="I18" t="str">
            <v>Complete</v>
          </cell>
          <cell r="N18">
            <v>3078</v>
          </cell>
          <cell r="O18">
            <v>3174</v>
          </cell>
          <cell r="P18">
            <v>5794</v>
          </cell>
          <cell r="Q18">
            <v>5924</v>
          </cell>
          <cell r="R18">
            <v>26187</v>
          </cell>
          <cell r="S18">
            <v>26187</v>
          </cell>
          <cell r="T18">
            <v>1640</v>
          </cell>
          <cell r="U18">
            <v>655</v>
          </cell>
          <cell r="V18">
            <v>3.7575896437163481</v>
          </cell>
          <cell r="W18">
            <v>1.5007446442891512</v>
          </cell>
          <cell r="X18">
            <v>0.28305143251639625</v>
          </cell>
          <cell r="Y18">
            <v>0.11056718433490885</v>
          </cell>
          <cell r="Z18">
            <v>0.53281351526965559</v>
          </cell>
          <cell r="AA18">
            <v>0.20636420919974796</v>
          </cell>
        </row>
        <row r="19">
          <cell r="B19" t="str">
            <v>Atkins</v>
          </cell>
          <cell r="C19">
            <v>1</v>
          </cell>
          <cell r="D19" t="str">
            <v>Westford</v>
          </cell>
          <cell r="E19">
            <v>2906</v>
          </cell>
          <cell r="F19" t="str">
            <v>Colonial</v>
          </cell>
          <cell r="G19">
            <v>2</v>
          </cell>
          <cell r="H19">
            <v>1993</v>
          </cell>
          <cell r="I19" t="str">
            <v>Complete</v>
          </cell>
          <cell r="K19" t="str">
            <v>application</v>
          </cell>
          <cell r="N19">
            <v>2906</v>
          </cell>
          <cell r="O19">
            <v>3955</v>
          </cell>
          <cell r="P19">
            <v>7325</v>
          </cell>
          <cell r="Q19">
            <v>9538</v>
          </cell>
          <cell r="R19">
            <v>32226</v>
          </cell>
          <cell r="S19">
            <v>44475</v>
          </cell>
          <cell r="T19">
            <v>2592</v>
          </cell>
          <cell r="U19">
            <v>930</v>
          </cell>
          <cell r="V19" t="e">
            <v>#DIV/0!</v>
          </cell>
          <cell r="W19">
            <v>1.2546374367622262</v>
          </cell>
          <cell r="X19">
            <v>0.35385665529010241</v>
          </cell>
          <cell r="Y19">
            <v>9.7504717970224364E-2</v>
          </cell>
          <cell r="Z19">
            <v>0.89194769442532695</v>
          </cell>
          <cell r="AA19">
            <v>0.23514538558786346</v>
          </cell>
        </row>
        <row r="20">
          <cell r="B20" t="str">
            <v>Riley</v>
          </cell>
          <cell r="C20">
            <v>1</v>
          </cell>
          <cell r="D20" t="str">
            <v>Jamaica Plain</v>
          </cell>
          <cell r="E20">
            <v>5663</v>
          </cell>
          <cell r="F20" t="str">
            <v>Victorian</v>
          </cell>
          <cell r="G20">
            <v>1</v>
          </cell>
          <cell r="H20">
            <v>1878</v>
          </cell>
          <cell r="I20" t="str">
            <v>Complete</v>
          </cell>
          <cell r="J20" t="str">
            <v>N</v>
          </cell>
          <cell r="M20" t="str">
            <v>Included</v>
          </cell>
          <cell r="N20">
            <v>5663</v>
          </cell>
          <cell r="O20">
            <v>5663</v>
          </cell>
          <cell r="P20">
            <v>7182</v>
          </cell>
          <cell r="Q20">
            <v>8152</v>
          </cell>
          <cell r="R20">
            <v>48737</v>
          </cell>
          <cell r="S20">
            <v>51481</v>
          </cell>
          <cell r="T20">
            <v>8000</v>
          </cell>
          <cell r="U20">
            <v>4539</v>
          </cell>
          <cell r="V20">
            <v>9.8487801875371908</v>
          </cell>
          <cell r="W20">
            <v>5.2901070297779764</v>
          </cell>
          <cell r="X20">
            <v>1.1138958507379559</v>
          </cell>
          <cell r="Y20">
            <v>0.55679587831207067</v>
          </cell>
          <cell r="Z20">
            <v>1.4126787921596327</v>
          </cell>
          <cell r="AA20">
            <v>0</v>
          </cell>
        </row>
        <row r="21">
          <cell r="B21" t="str">
            <v>Cunningham</v>
          </cell>
          <cell r="C21">
            <v>1</v>
          </cell>
          <cell r="D21" t="str">
            <v>Gloucester</v>
          </cell>
          <cell r="E21">
            <v>2171</v>
          </cell>
          <cell r="F21" t="str">
            <v>Single family</v>
          </cell>
          <cell r="G21">
            <v>2</v>
          </cell>
          <cell r="H21">
            <v>1920</v>
          </cell>
          <cell r="I21" t="str">
            <v>Complete</v>
          </cell>
          <cell r="K21" t="str">
            <v>application</v>
          </cell>
          <cell r="N21">
            <v>2171</v>
          </cell>
          <cell r="O21">
            <v>2424</v>
          </cell>
          <cell r="P21">
            <v>5325</v>
          </cell>
          <cell r="Q21">
            <v>6493</v>
          </cell>
          <cell r="S21">
            <v>23285</v>
          </cell>
          <cell r="T21">
            <v>2258</v>
          </cell>
          <cell r="U21">
            <v>235</v>
          </cell>
          <cell r="V21" t="e">
            <v>#DIV/0!</v>
          </cell>
          <cell r="W21">
            <v>0.60554004724071286</v>
          </cell>
          <cell r="X21">
            <v>0.42403755868544601</v>
          </cell>
          <cell r="Y21">
            <v>3.6192823040197136E-2</v>
          </cell>
          <cell r="Z21">
            <v>1.0400736987563335</v>
          </cell>
          <cell r="AA21">
            <v>9.6947194719471941E-2</v>
          </cell>
        </row>
        <row r="22">
          <cell r="B22" t="str">
            <v>Butler</v>
          </cell>
          <cell r="C22">
            <v>2</v>
          </cell>
          <cell r="D22" t="str">
            <v>Medford</v>
          </cell>
          <cell r="E22">
            <v>3200</v>
          </cell>
          <cell r="F22" t="str">
            <v>2 family gambrel</v>
          </cell>
          <cell r="G22">
            <v>3</v>
          </cell>
          <cell r="H22">
            <v>1916</v>
          </cell>
          <cell r="I22" t="str">
            <v>Complete</v>
          </cell>
          <cell r="J22" t="str">
            <v>N</v>
          </cell>
          <cell r="K22" t="str">
            <v>W.A.G.</v>
          </cell>
          <cell r="L22" t="str">
            <v>Excluded</v>
          </cell>
          <cell r="M22" t="str">
            <v>Excluded</v>
          </cell>
          <cell r="N22">
            <v>3200</v>
          </cell>
          <cell r="R22">
            <v>32218</v>
          </cell>
          <cell r="S22">
            <v>33368</v>
          </cell>
          <cell r="T22">
            <v>5296</v>
          </cell>
          <cell r="U22">
            <v>1922</v>
          </cell>
          <cell r="V22">
            <v>9.8628096095350433</v>
          </cell>
          <cell r="W22">
            <v>3.4560057540158233</v>
          </cell>
          <cell r="Z22">
            <v>0</v>
          </cell>
          <cell r="AA22" t="e">
            <v>#DIV/0!</v>
          </cell>
        </row>
        <row r="23">
          <cell r="B23" t="str">
            <v>Biddle</v>
          </cell>
          <cell r="C23">
            <v>1</v>
          </cell>
          <cell r="D23" t="str">
            <v>Northampton</v>
          </cell>
          <cell r="E23">
            <v>1126</v>
          </cell>
          <cell r="F23" t="str">
            <v>Ranch</v>
          </cell>
          <cell r="G23">
            <v>1</v>
          </cell>
          <cell r="H23">
            <v>1972</v>
          </cell>
          <cell r="I23" t="str">
            <v>Complete</v>
          </cell>
          <cell r="M23" t="str">
            <v>Included</v>
          </cell>
          <cell r="N23">
            <v>1126</v>
          </cell>
          <cell r="O23">
            <v>2209</v>
          </cell>
          <cell r="P23">
            <v>4558</v>
          </cell>
          <cell r="Q23">
            <v>6198</v>
          </cell>
          <cell r="R23">
            <v>19497</v>
          </cell>
          <cell r="S23">
            <v>29819</v>
          </cell>
          <cell r="T23">
            <v>1315</v>
          </cell>
          <cell r="U23">
            <v>556</v>
          </cell>
          <cell r="V23">
            <v>4.0467764271426372</v>
          </cell>
          <cell r="W23">
            <v>1.1187497904020927</v>
          </cell>
          <cell r="Y23">
            <v>8.9706356889319133E-2</v>
          </cell>
          <cell r="AA23">
            <v>0.25169760072430963</v>
          </cell>
        </row>
        <row r="24">
          <cell r="B24" t="str">
            <v>Veterans Northeast Outreach Center</v>
          </cell>
          <cell r="C24">
            <v>2</v>
          </cell>
          <cell r="D24" t="str">
            <v>Haverhill</v>
          </cell>
          <cell r="E24">
            <v>1542</v>
          </cell>
          <cell r="F24" t="str">
            <v>Colonial</v>
          </cell>
          <cell r="G24">
            <v>2</v>
          </cell>
          <cell r="H24">
            <v>1900</v>
          </cell>
          <cell r="I24" t="str">
            <v>Complete</v>
          </cell>
          <cell r="L24" t="str">
            <v>Included</v>
          </cell>
          <cell r="M24" t="str">
            <v>Included</v>
          </cell>
          <cell r="N24">
            <v>1542</v>
          </cell>
          <cell r="O24">
            <v>1542</v>
          </cell>
          <cell r="P24">
            <v>5272</v>
          </cell>
          <cell r="Q24">
            <v>5272</v>
          </cell>
          <cell r="R24">
            <v>23233</v>
          </cell>
          <cell r="S24">
            <v>25589</v>
          </cell>
          <cell r="T24">
            <v>6970</v>
          </cell>
          <cell r="U24">
            <v>1085</v>
          </cell>
          <cell r="V24" t="e">
            <v>#DIV/0!</v>
          </cell>
          <cell r="W24" t="e">
            <v>#DIV/0!</v>
          </cell>
          <cell r="X24">
            <v>1.3220789074355084</v>
          </cell>
          <cell r="Y24">
            <v>0.20580424886191198</v>
          </cell>
          <cell r="Z24">
            <v>4.5201037613488975</v>
          </cell>
          <cell r="AA24">
            <v>0.7036316472114138</v>
          </cell>
        </row>
        <row r="25">
          <cell r="B25" t="str">
            <v>Bean</v>
          </cell>
          <cell r="C25">
            <v>3</v>
          </cell>
          <cell r="D25" t="str">
            <v>Dorchester</v>
          </cell>
          <cell r="E25">
            <v>4200</v>
          </cell>
          <cell r="F25">
            <v>0</v>
          </cell>
          <cell r="G25">
            <v>3</v>
          </cell>
          <cell r="H25">
            <v>0</v>
          </cell>
          <cell r="I25" t="str">
            <v>Complete</v>
          </cell>
          <cell r="J25" t="str">
            <v>N</v>
          </cell>
          <cell r="L25" t="str">
            <v>Excluded</v>
          </cell>
          <cell r="M25" t="str">
            <v>Excluded</v>
          </cell>
          <cell r="N25">
            <v>4200</v>
          </cell>
          <cell r="O25">
            <v>4200</v>
          </cell>
          <cell r="P25">
            <v>9100</v>
          </cell>
          <cell r="Q25">
            <v>9100</v>
          </cell>
          <cell r="R25">
            <v>41540</v>
          </cell>
          <cell r="S25">
            <v>42964</v>
          </cell>
          <cell r="T25">
            <v>13779</v>
          </cell>
          <cell r="U25">
            <v>5084</v>
          </cell>
          <cell r="V25">
            <v>19.902262879152623</v>
          </cell>
          <cell r="W25">
            <v>7.0998975886788944</v>
          </cell>
          <cell r="Y25">
            <v>0.55868131868131865</v>
          </cell>
          <cell r="Z25">
            <v>3.2807142857142857</v>
          </cell>
          <cell r="AA25">
            <v>0</v>
          </cell>
        </row>
        <row r="26">
          <cell r="B26" t="str">
            <v>Mampre</v>
          </cell>
          <cell r="C26">
            <v>1</v>
          </cell>
          <cell r="D26" t="str">
            <v>Rutland</v>
          </cell>
          <cell r="E26">
            <v>1415</v>
          </cell>
          <cell r="F26" t="str">
            <v>Cape</v>
          </cell>
          <cell r="G26">
            <v>1</v>
          </cell>
          <cell r="H26">
            <v>1977</v>
          </cell>
          <cell r="I26" t="str">
            <v>Complete</v>
          </cell>
          <cell r="J26" t="str">
            <v>Y</v>
          </cell>
          <cell r="K26" t="str">
            <v>field take-off</v>
          </cell>
          <cell r="L26" t="str">
            <v>Excluded</v>
          </cell>
          <cell r="M26" t="str">
            <v>Included</v>
          </cell>
          <cell r="N26">
            <v>1415</v>
          </cell>
          <cell r="O26">
            <v>2720</v>
          </cell>
          <cell r="P26">
            <v>3894</v>
          </cell>
          <cell r="Q26">
            <v>4968</v>
          </cell>
          <cell r="R26">
            <v>15163</v>
          </cell>
          <cell r="S26">
            <v>23482</v>
          </cell>
          <cell r="T26">
            <v>1658</v>
          </cell>
          <cell r="U26">
            <v>493</v>
          </cell>
          <cell r="V26">
            <v>6.560706984106047</v>
          </cell>
          <cell r="W26">
            <v>1.2596882718678137</v>
          </cell>
          <cell r="X26">
            <v>0.42578325629173086</v>
          </cell>
          <cell r="Y26">
            <v>9.9235104669887275E-2</v>
          </cell>
          <cell r="Z26">
            <v>1.1717314487632509</v>
          </cell>
          <cell r="AA26">
            <v>0.18124999999999999</v>
          </cell>
        </row>
        <row r="27">
          <cell r="B27" t="str">
            <v>Sorkin</v>
          </cell>
          <cell r="C27">
            <v>1</v>
          </cell>
          <cell r="D27" t="str">
            <v>Florence</v>
          </cell>
          <cell r="E27">
            <v>2690</v>
          </cell>
          <cell r="F27" t="str">
            <v>Victorian</v>
          </cell>
          <cell r="G27">
            <v>2</v>
          </cell>
          <cell r="H27">
            <v>1880</v>
          </cell>
          <cell r="I27" t="str">
            <v>Complete</v>
          </cell>
          <cell r="J27" t="str">
            <v>N</v>
          </cell>
          <cell r="K27" t="str">
            <v>application</v>
          </cell>
          <cell r="L27" t="str">
            <v>Included</v>
          </cell>
          <cell r="M27" t="str">
            <v>Included</v>
          </cell>
          <cell r="N27">
            <v>2690</v>
          </cell>
          <cell r="O27">
            <v>3976</v>
          </cell>
          <cell r="P27">
            <v>7258</v>
          </cell>
          <cell r="Q27">
            <v>7308</v>
          </cell>
          <cell r="R27">
            <v>38340</v>
          </cell>
          <cell r="S27">
            <v>37500</v>
          </cell>
          <cell r="T27">
            <v>4094</v>
          </cell>
          <cell r="U27">
            <v>1902</v>
          </cell>
          <cell r="V27">
            <v>6.4068857589984347</v>
          </cell>
          <cell r="W27">
            <v>3.0432000000000001</v>
          </cell>
          <cell r="X27">
            <v>0.56406723615321031</v>
          </cell>
          <cell r="Y27">
            <v>0.26026272577996717</v>
          </cell>
          <cell r="Z27">
            <v>1.5219330855018587</v>
          </cell>
          <cell r="AA27">
            <v>0.4783702213279678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6:BN26"/>
  <sheetViews>
    <sheetView tabSelected="1" topLeftCell="B8" zoomScale="80" zoomScaleNormal="80" workbookViewId="0">
      <pane xSplit="1" topLeftCell="X1" activePane="topRight" state="frozen"/>
      <selection activeCell="B9" sqref="B9:X21"/>
      <selection pane="topRight" activeCell="BH17" sqref="BH17"/>
    </sheetView>
  </sheetViews>
  <sheetFormatPr defaultRowHeight="15" outlineLevelCol="1"/>
  <cols>
    <col min="2" max="2" width="11.7109375" customWidth="1"/>
    <col min="3" max="3" width="8.7109375" customWidth="1"/>
    <col min="4" max="4" width="12.7109375" customWidth="1"/>
    <col min="6" max="6" width="11.5703125" customWidth="1"/>
    <col min="9" max="9" width="12.5703125" customWidth="1"/>
    <col min="11" max="11" width="12.42578125" customWidth="1"/>
    <col min="16" max="27" width="9.140625" customWidth="1" outlineLevel="1"/>
  </cols>
  <sheetData>
    <row r="6" spans="1:66" ht="15.75" thickBot="1"/>
    <row r="7" spans="1:66" ht="165.75" thickBot="1">
      <c r="B7" s="1" t="s">
        <v>0</v>
      </c>
      <c r="C7" s="1" t="s">
        <v>1</v>
      </c>
      <c r="D7" s="1" t="s">
        <v>2</v>
      </c>
      <c r="E7" s="1" t="s">
        <v>3</v>
      </c>
      <c r="F7" s="1" t="s">
        <v>4</v>
      </c>
      <c r="G7" s="1" t="s">
        <v>5</v>
      </c>
      <c r="H7" s="1" t="s">
        <v>6</v>
      </c>
      <c r="I7" s="1" t="s">
        <v>7</v>
      </c>
      <c r="J7" s="2" t="s">
        <v>8</v>
      </c>
      <c r="K7" s="2" t="s">
        <v>9</v>
      </c>
      <c r="L7" s="2" t="s">
        <v>40</v>
      </c>
      <c r="M7" s="2" t="s">
        <v>41</v>
      </c>
      <c r="N7" s="3" t="s">
        <v>3</v>
      </c>
      <c r="O7" s="4" t="s">
        <v>10</v>
      </c>
      <c r="P7" s="5" t="s">
        <v>11</v>
      </c>
      <c r="Q7" s="6" t="s">
        <v>12</v>
      </c>
      <c r="R7" s="5" t="s">
        <v>13</v>
      </c>
      <c r="S7" s="6" t="s">
        <v>14</v>
      </c>
      <c r="T7" s="7" t="s">
        <v>15</v>
      </c>
      <c r="U7" s="7" t="s">
        <v>16</v>
      </c>
      <c r="V7" s="5" t="s">
        <v>17</v>
      </c>
      <c r="W7" s="6" t="s">
        <v>18</v>
      </c>
      <c r="X7" s="7" t="s">
        <v>19</v>
      </c>
      <c r="Y7" s="6" t="s">
        <v>20</v>
      </c>
      <c r="Z7" s="7" t="s">
        <v>21</v>
      </c>
      <c r="AA7" s="6" t="s">
        <v>22</v>
      </c>
      <c r="AB7" s="2" t="s">
        <v>135</v>
      </c>
      <c r="AC7" s="2" t="s">
        <v>134</v>
      </c>
      <c r="AD7" s="2" t="s">
        <v>133</v>
      </c>
      <c r="AE7" s="8" t="s">
        <v>132</v>
      </c>
      <c r="AF7" s="8" t="s">
        <v>49</v>
      </c>
      <c r="AG7" s="8" t="s">
        <v>131</v>
      </c>
      <c r="AH7" s="8" t="s">
        <v>130</v>
      </c>
      <c r="AI7" s="8" t="s">
        <v>50</v>
      </c>
      <c r="AJ7" s="8" t="s">
        <v>128</v>
      </c>
      <c r="AK7" s="8" t="s">
        <v>129</v>
      </c>
      <c r="AL7" s="8" t="s">
        <v>127</v>
      </c>
      <c r="AM7" s="8" t="s">
        <v>137</v>
      </c>
      <c r="AN7" s="8" t="s">
        <v>136</v>
      </c>
      <c r="AO7" s="8" t="s">
        <v>171</v>
      </c>
      <c r="AP7" s="8" t="s">
        <v>167</v>
      </c>
      <c r="AQ7" s="8" t="s">
        <v>39</v>
      </c>
      <c r="AR7" s="8"/>
      <c r="AS7" s="11" t="s">
        <v>155</v>
      </c>
      <c r="AT7" s="11" t="s">
        <v>156</v>
      </c>
      <c r="AU7" s="11" t="s">
        <v>157</v>
      </c>
      <c r="AV7" s="11" t="s">
        <v>158</v>
      </c>
      <c r="AW7" s="8" t="s">
        <v>175</v>
      </c>
      <c r="AX7" s="8" t="s">
        <v>176</v>
      </c>
      <c r="AY7" s="8" t="s">
        <v>230</v>
      </c>
      <c r="AZ7" s="11" t="s">
        <v>165</v>
      </c>
      <c r="BA7" s="11" t="s">
        <v>166</v>
      </c>
      <c r="BB7" s="11" t="s">
        <v>177</v>
      </c>
      <c r="BC7" s="8" t="s">
        <v>178</v>
      </c>
      <c r="BD7" s="8" t="s">
        <v>182</v>
      </c>
      <c r="BE7" s="8" t="s">
        <v>179</v>
      </c>
      <c r="BF7" s="8" t="s">
        <v>184</v>
      </c>
      <c r="BG7" s="11" t="s">
        <v>180</v>
      </c>
      <c r="BH7" s="11" t="s">
        <v>185</v>
      </c>
      <c r="BI7" s="11" t="s">
        <v>181</v>
      </c>
      <c r="BJ7" s="11" t="s">
        <v>183</v>
      </c>
      <c r="BL7" s="58"/>
      <c r="BM7" s="58"/>
      <c r="BN7" s="58"/>
    </row>
    <row r="8" spans="1:66">
      <c r="AS8" s="57"/>
      <c r="AT8" s="57"/>
      <c r="AU8" s="57"/>
      <c r="AV8" s="57"/>
    </row>
    <row r="9" spans="1:66">
      <c r="A9" s="10" t="s">
        <v>24</v>
      </c>
      <c r="B9" s="11" t="s">
        <v>25</v>
      </c>
      <c r="C9" s="12">
        <f>VLOOKUP($B9,'[1]Project Management'!$B$12:$S61,3,FALSE)</f>
        <v>1</v>
      </c>
      <c r="D9" s="12" t="str">
        <f>VLOOKUP($B9,'[1]Project Management'!$B$12:$S61,7,FALSE)</f>
        <v>Belchertown</v>
      </c>
      <c r="E9" s="12">
        <f>VLOOKUP($B9,'[1]Project Management'!$B$12:$S61,8,FALSE)</f>
        <v>1352</v>
      </c>
      <c r="F9" s="11" t="str">
        <f>VLOOKUP($B9,'[1]Project Management'!$B$12:$S61,9,FALSE)</f>
        <v>Cape</v>
      </c>
      <c r="G9" s="11">
        <f>VLOOKUP($B9,'[1]Project Management'!$B$12:$S61,10,FALSE)</f>
        <v>1.5</v>
      </c>
      <c r="H9" s="11">
        <f>VLOOKUP($B9,'[1]Project Management'!$B$12:$S61,11,FALSE)</f>
        <v>1760</v>
      </c>
      <c r="I9" s="11" t="str">
        <f>VLOOKUP($B9,'[1]Project Management'!$B$12:$S61,13,FALSE)</f>
        <v>Complete</v>
      </c>
      <c r="J9" s="13" t="str">
        <f>VLOOKUP($B9,'[1]Project Statistics'!$B$8:$AA$27,9,FALSE)</f>
        <v>Y</v>
      </c>
      <c r="K9" s="13" t="str">
        <f>VLOOKUP($B9,'[1]Project Statistics'!$B$8:$AA$27,10,FALSE)</f>
        <v>W.A.G.</v>
      </c>
      <c r="L9" s="13" t="str">
        <f>VLOOKUP($B9,'[1]Project Statistics'!$B$8:$AA$27,11,FALSE)</f>
        <v>Excluded</v>
      </c>
      <c r="M9" s="13" t="str">
        <f>VLOOKUP($B9,'[1]Project Statistics'!$B$8:$AA$27,12,FALSE)</f>
        <v>Included</v>
      </c>
      <c r="N9" s="13">
        <f>VLOOKUP($B9,'[1]Project Statistics'!$B$8:$AA$27,13,FALSE)</f>
        <v>1435</v>
      </c>
      <c r="O9" s="13">
        <f>VLOOKUP($B9,'[1]Project Statistics'!$B$8:$AA$27,14,FALSE)</f>
        <v>1907</v>
      </c>
      <c r="P9" s="13">
        <f>VLOOKUP($B9,'[1]Project Statistics'!$B$8:$AA$27,15,FALSE)</f>
        <v>3726</v>
      </c>
      <c r="Q9" s="13">
        <f>VLOOKUP($B9,'[1]Project Statistics'!$B$8:$AA$27,16,FALSE)</f>
        <v>4066</v>
      </c>
      <c r="R9" s="13">
        <f>VLOOKUP($B9,'[1]Project Statistics'!$B$8:$AA$27,17,FALSE)</f>
        <v>9448</v>
      </c>
      <c r="S9" s="13">
        <f>VLOOKUP($B9,'[1]Project Statistics'!$B$8:$AA$27,18,FALSE)</f>
        <v>14972</v>
      </c>
      <c r="T9" s="13">
        <f>VLOOKUP($B9,'[1]Project Statistics'!$B$8:$AA$27,19,FALSE)</f>
        <v>9079</v>
      </c>
      <c r="U9" s="13">
        <f>VLOOKUP($B9,'[1]Project Statistics'!$B$8:$AA$27,20,FALSE)</f>
        <v>468</v>
      </c>
      <c r="V9" s="34">
        <f>T9*60*(1/R9)</f>
        <v>57.656646909398809</v>
      </c>
      <c r="W9" s="29">
        <f>U9*60*(1/S9)</f>
        <v>1.8755009350788139</v>
      </c>
      <c r="X9" s="14">
        <f t="shared" ref="X9:X21" si="0">T9/P9</f>
        <v>2.4366612989801397</v>
      </c>
      <c r="Y9" s="15">
        <f t="shared" ref="Y9:Y21" si="1">U9/Q9</f>
        <v>0.11510083620265617</v>
      </c>
      <c r="Z9" s="14">
        <f t="shared" ref="Z9:Z21" si="2">T9/N9</f>
        <v>6.3268292682926832</v>
      </c>
      <c r="AA9" s="15">
        <f t="shared" ref="AA9:AA21" si="3">U9/O9</f>
        <v>0.2454116413214473</v>
      </c>
      <c r="AB9" s="46">
        <v>193.64</v>
      </c>
      <c r="AC9" s="46">
        <v>210.87</v>
      </c>
      <c r="AD9" s="42">
        <v>37.130000000000003</v>
      </c>
      <c r="AE9" s="16">
        <v>52.4</v>
      </c>
      <c r="AF9" s="16"/>
      <c r="AG9" s="31">
        <v>15.1</v>
      </c>
      <c r="AH9" s="31">
        <v>22.29</v>
      </c>
      <c r="AI9" s="31"/>
      <c r="AJ9" s="31">
        <v>1.04</v>
      </c>
      <c r="AK9" s="31">
        <v>2</v>
      </c>
      <c r="AL9" s="78"/>
      <c r="AM9" s="78">
        <v>37.450000000000003</v>
      </c>
      <c r="AN9" s="78">
        <v>52.72</v>
      </c>
      <c r="AO9" s="78"/>
      <c r="AQ9">
        <f>VLOOKUP($B9,'[1]Project Management'!$B$12:$V61,21,FALSE)</f>
        <v>1</v>
      </c>
      <c r="AS9" s="87">
        <v>24.38</v>
      </c>
      <c r="AT9" s="87">
        <v>14.99</v>
      </c>
      <c r="AU9" s="87"/>
      <c r="AV9" s="87">
        <v>171.5</v>
      </c>
      <c r="AW9" s="101">
        <v>6.39</v>
      </c>
      <c r="AX9" s="101">
        <v>30.74</v>
      </c>
      <c r="AZ9" s="87">
        <v>21.35</v>
      </c>
      <c r="BA9" s="87">
        <v>31.05</v>
      </c>
      <c r="BB9" s="87"/>
      <c r="BC9" s="89">
        <v>3.02</v>
      </c>
      <c r="BD9" s="89"/>
      <c r="BE9" s="89">
        <v>12.08</v>
      </c>
      <c r="BF9" s="89"/>
      <c r="BG9" s="89">
        <v>10.09</v>
      </c>
      <c r="BH9" s="89"/>
      <c r="BI9" s="89">
        <v>12.2</v>
      </c>
      <c r="BJ9" s="90"/>
    </row>
    <row r="10" spans="1:66" ht="30">
      <c r="A10" s="10" t="s">
        <v>24</v>
      </c>
      <c r="B10" s="17" t="s">
        <v>26</v>
      </c>
      <c r="C10" s="12">
        <f>VLOOKUP($B10,'[1]Project Management'!$B$12:$S62,3,FALSE)</f>
        <v>2</v>
      </c>
      <c r="D10" s="12" t="str">
        <f>VLOOKUP($B10,'[1]Project Management'!$B$12:$S62,7,FALSE)</f>
        <v>Belmont</v>
      </c>
      <c r="E10" s="18">
        <f>VLOOKUP($B10,'[1]Project Management'!$B$12:$S62,8,FALSE)</f>
        <v>2728</v>
      </c>
      <c r="F10" s="11" t="str">
        <f>VLOOKUP($B10,'[1]Project Management'!$B$12:$S62,9,FALSE)</f>
        <v>2 family</v>
      </c>
      <c r="G10" s="11">
        <f>VLOOKUP($B10,'[1]Project Management'!$B$12:$S62,10,FALSE)</f>
        <v>3</v>
      </c>
      <c r="H10" s="11">
        <f>VLOOKUP($B10,'[1]Project Management'!$B$12:$S62,11,FALSE)</f>
        <v>1925</v>
      </c>
      <c r="I10" s="11" t="str">
        <f>VLOOKUP($B10,'[1]Project Management'!$B$12:$S62,13,FALSE)</f>
        <v>Complete</v>
      </c>
      <c r="J10" s="13" t="str">
        <f>VLOOKUP($B10,'[1]Project Statistics'!$B$8:$AA$27,9,FALSE)</f>
        <v>Y</v>
      </c>
      <c r="K10" s="13">
        <f>VLOOKUP($B10,'[1]Project Statistics'!$B$8:$AA$27,10,FALSE)</f>
        <v>0</v>
      </c>
      <c r="L10" s="13" t="str">
        <f>VLOOKUP($B10,'[1]Project Statistics'!$B$8:$AA$27,11,FALSE)</f>
        <v>Excluded</v>
      </c>
      <c r="M10" s="13" t="str">
        <f>VLOOKUP($B10,'[1]Project Statistics'!$B$8:$AA$27,12,FALSE)</f>
        <v>Included</v>
      </c>
      <c r="N10" s="13">
        <f>VLOOKUP($B10,'[1]Project Statistics'!$B$8:$AA$27,13,FALSE)</f>
        <v>3417</v>
      </c>
      <c r="O10" s="13">
        <f>VLOOKUP($B10,'[1]Project Statistics'!$B$8:$AA$27,14,FALSE)</f>
        <v>4768</v>
      </c>
      <c r="P10" s="13">
        <f>VLOOKUP($B10,'[1]Project Statistics'!$B$8:$AA$27,15,FALSE)</f>
        <v>7468</v>
      </c>
      <c r="Q10" s="13">
        <f>VLOOKUP($B10,'[1]Project Statistics'!$B$8:$AA$27,16,FALSE)</f>
        <v>9093</v>
      </c>
      <c r="R10" s="13">
        <f>VLOOKUP($B10,'[1]Project Statistics'!$B$8:$AA$27,17,FALSE)</f>
        <v>36898</v>
      </c>
      <c r="S10" s="13">
        <f>VLOOKUP($B10,'[1]Project Statistics'!$B$8:$AA$27,18,FALSE)</f>
        <v>47706</v>
      </c>
      <c r="T10" s="13">
        <f>VLOOKUP($B10,'[1]Project Statistics'!$B$8:$AA$27,19,FALSE)</f>
        <v>5700</v>
      </c>
      <c r="U10" s="13">
        <f>VLOOKUP($B10,'[1]Project Statistics'!$B$8:$AA$27,20,FALSE)</f>
        <v>590</v>
      </c>
      <c r="V10" s="20">
        <v>9.2687950566426363</v>
      </c>
      <c r="W10" s="29">
        <f t="shared" ref="W10:W21" si="4">U10*60*(1/S10)</f>
        <v>0.74204502578292031</v>
      </c>
      <c r="X10" s="30">
        <f t="shared" si="0"/>
        <v>0.76325656132833419</v>
      </c>
      <c r="Y10" s="29">
        <f t="shared" si="1"/>
        <v>6.4885076432420544E-2</v>
      </c>
      <c r="Z10" s="14">
        <f t="shared" si="2"/>
        <v>1.6681299385425812</v>
      </c>
      <c r="AA10" s="15">
        <f t="shared" si="3"/>
        <v>0.12374161073825503</v>
      </c>
      <c r="AB10" s="46">
        <v>485.78</v>
      </c>
      <c r="AC10" s="46">
        <v>561.85</v>
      </c>
      <c r="AD10" s="42">
        <v>59.36</v>
      </c>
      <c r="AE10" s="31">
        <v>151.47999999999999</v>
      </c>
      <c r="AF10" s="16"/>
      <c r="AG10" s="31">
        <v>28.94</v>
      </c>
      <c r="AH10" s="31">
        <v>77.39</v>
      </c>
      <c r="AI10" s="31"/>
      <c r="AJ10" s="31">
        <v>2.46</v>
      </c>
      <c r="AK10" s="31">
        <v>8.11</v>
      </c>
      <c r="AL10" s="37"/>
      <c r="AM10" s="78">
        <v>61.08</v>
      </c>
      <c r="AN10" s="78">
        <v>153.29</v>
      </c>
      <c r="AO10" s="78"/>
      <c r="AQ10">
        <f>VLOOKUP($B10,'[1]Project Management'!$B$12:$V62,21,FALSE)</f>
        <v>2</v>
      </c>
      <c r="AS10" s="87">
        <v>100.44</v>
      </c>
      <c r="AT10" s="87">
        <v>32.35</v>
      </c>
      <c r="AU10" s="87">
        <v>429.06</v>
      </c>
      <c r="AV10" s="87"/>
      <c r="AW10" s="101">
        <v>38.96</v>
      </c>
      <c r="AX10" s="101">
        <v>20.399999999999999</v>
      </c>
      <c r="AZ10" s="87">
        <v>130.12</v>
      </c>
      <c r="BA10" s="87">
        <v>21.36</v>
      </c>
      <c r="BB10" s="87"/>
      <c r="BC10" s="91">
        <v>20.54</v>
      </c>
      <c r="BD10" s="91">
        <v>12.67</v>
      </c>
      <c r="BE10" s="91">
        <v>8.4</v>
      </c>
      <c r="BF10" s="91"/>
      <c r="BG10" s="91">
        <v>68.59</v>
      </c>
      <c r="BH10" s="91">
        <v>38.950000000000003</v>
      </c>
      <c r="BI10" s="91">
        <v>8.7899999999999991</v>
      </c>
      <c r="BJ10" s="92"/>
    </row>
    <row r="11" spans="1:66">
      <c r="A11" s="10" t="s">
        <v>24</v>
      </c>
      <c r="B11" s="11" t="s">
        <v>27</v>
      </c>
      <c r="C11" s="12">
        <f>VLOOKUP($B11,'[1]Project Management'!$B$12:$S63,3,FALSE)</f>
        <v>1</v>
      </c>
      <c r="D11" s="12" t="str">
        <f>VLOOKUP($B11,'[1]Project Management'!$B$12:$S63,7,FALSE)</f>
        <v>Millbury</v>
      </c>
      <c r="E11" s="18">
        <f>VLOOKUP($B11,'[1]Project Management'!$B$12:$S63,8,FALSE)</f>
        <v>1100</v>
      </c>
      <c r="F11" s="11" t="str">
        <f>VLOOKUP($B11,'[1]Project Management'!$B$12:$S63,9,FALSE)</f>
        <v>Cape</v>
      </c>
      <c r="G11" s="11">
        <f>VLOOKUP($B11,'[1]Project Management'!$B$12:$S63,10,FALSE)</f>
        <v>1.5</v>
      </c>
      <c r="H11" s="11">
        <f>VLOOKUP($B11,'[1]Project Management'!$B$12:$S63,11,FALSE)</f>
        <v>1953</v>
      </c>
      <c r="I11" s="11" t="str">
        <f>VLOOKUP($B11,'[1]Project Management'!$B$12:$S63,13,FALSE)</f>
        <v>Complete</v>
      </c>
      <c r="J11" s="13" t="str">
        <f>VLOOKUP($B11,'[1]Project Statistics'!$B$8:$AA$27,9,FALSE)</f>
        <v>?</v>
      </c>
      <c r="K11" s="13">
        <f>VLOOKUP($B11,'[1]Project Statistics'!$B$8:$AA$27,10,FALSE)</f>
        <v>0</v>
      </c>
      <c r="L11" s="13" t="str">
        <f>VLOOKUP($B11,'[1]Project Statistics'!$B$8:$AA$27,11,FALSE)</f>
        <v>Included</v>
      </c>
      <c r="M11" s="13" t="str">
        <f>VLOOKUP($B11,'[1]Project Statistics'!$B$8:$AA$27,12,FALSE)</f>
        <v>Included</v>
      </c>
      <c r="N11" s="13">
        <f>VLOOKUP($B11,'[1]Project Statistics'!$B$8:$AA$27,13,FALSE)</f>
        <v>1868</v>
      </c>
      <c r="O11" s="13">
        <f>VLOOKUP($B11,'[1]Project Statistics'!$B$8:$AA$27,14,FALSE)</f>
        <v>1868</v>
      </c>
      <c r="P11" s="13">
        <f>VLOOKUP($B11,'[1]Project Statistics'!$B$8:$AA$27,15,FALSE)</f>
        <v>4278</v>
      </c>
      <c r="Q11" s="13">
        <f>VLOOKUP($B11,'[1]Project Statistics'!$B$8:$AA$27,16,FALSE)</f>
        <v>4278</v>
      </c>
      <c r="R11" s="13">
        <f>VLOOKUP($B11,'[1]Project Statistics'!$B$8:$AA$27,17,FALSE)</f>
        <v>17000</v>
      </c>
      <c r="S11" s="13">
        <f>VLOOKUP($B11,'[1]Project Statistics'!$B$8:$AA$27,18,FALSE)</f>
        <v>17000</v>
      </c>
      <c r="T11" s="13">
        <f>VLOOKUP($B11,'[1]Project Statistics'!$B$8:$AA$27,19,FALSE)</f>
        <v>2860</v>
      </c>
      <c r="U11" s="13">
        <f>VLOOKUP($B11,'[1]Project Statistics'!$B$8:$AA$27,20,FALSE)</f>
        <v>402</v>
      </c>
      <c r="V11" s="19">
        <v>10.4</v>
      </c>
      <c r="W11" s="29">
        <f t="shared" si="4"/>
        <v>1.4188235294117648</v>
      </c>
      <c r="X11" s="22">
        <f t="shared" si="0"/>
        <v>0.66853669939223936</v>
      </c>
      <c r="Y11" s="21">
        <f t="shared" si="1"/>
        <v>9.3969144460028048E-2</v>
      </c>
      <c r="Z11" s="22">
        <f t="shared" si="2"/>
        <v>1.5310492505353319</v>
      </c>
      <c r="AA11" s="21">
        <f t="shared" si="3"/>
        <v>0.21520342612419699</v>
      </c>
      <c r="AB11" s="30">
        <v>125.16</v>
      </c>
      <c r="AC11" s="30">
        <v>188.05</v>
      </c>
      <c r="AD11" s="43">
        <v>45.04</v>
      </c>
      <c r="AE11" s="33">
        <v>129.72999999999999</v>
      </c>
      <c r="AF11" s="33"/>
      <c r="AG11" s="33">
        <v>21.26</v>
      </c>
      <c r="AH11" s="33">
        <v>62.9</v>
      </c>
      <c r="AI11" s="33"/>
      <c r="AJ11" s="33">
        <v>2.34</v>
      </c>
      <c r="AK11" s="33">
        <v>6.58</v>
      </c>
      <c r="AL11" s="79"/>
      <c r="AM11" s="79">
        <v>46.16</v>
      </c>
      <c r="AN11" s="79">
        <v>140.01</v>
      </c>
      <c r="AO11" s="79"/>
      <c r="AQ11">
        <f>VLOOKUP($B11,'[1]Project Management'!$B$12:$V63,21,FALSE)</f>
        <v>3</v>
      </c>
      <c r="AS11" s="87">
        <v>89.02</v>
      </c>
      <c r="AT11" s="87"/>
      <c r="AU11" s="87">
        <v>52.53</v>
      </c>
      <c r="AV11" s="87">
        <v>46.5</v>
      </c>
      <c r="AW11" s="101">
        <v>36.17</v>
      </c>
      <c r="AX11" s="101">
        <v>6.08</v>
      </c>
      <c r="AY11" s="87">
        <v>2.79</v>
      </c>
      <c r="AZ11" s="87">
        <v>120.8</v>
      </c>
      <c r="BA11" s="87">
        <v>6.14</v>
      </c>
      <c r="BB11" s="87">
        <v>2.79</v>
      </c>
      <c r="BC11" s="93">
        <v>17.79</v>
      </c>
      <c r="BD11" s="93"/>
      <c r="BE11" s="93">
        <v>2.5499999999999998</v>
      </c>
      <c r="BF11" s="93">
        <v>0.93</v>
      </c>
      <c r="BG11" s="93">
        <v>59.4</v>
      </c>
      <c r="BH11" s="91"/>
      <c r="BI11" s="91">
        <v>2.57</v>
      </c>
      <c r="BJ11" s="94">
        <v>0.93</v>
      </c>
      <c r="BL11" s="37"/>
      <c r="BM11" s="37"/>
    </row>
    <row r="12" spans="1:66" ht="45">
      <c r="A12" s="10" t="s">
        <v>24</v>
      </c>
      <c r="B12" s="11" t="s">
        <v>28</v>
      </c>
      <c r="C12" s="12">
        <f>VLOOKUP($B12,'[1]Project Management'!$B$12:$S64,3,FALSE)</f>
        <v>1</v>
      </c>
      <c r="D12" s="12" t="str">
        <f>VLOOKUP($B12,'[1]Project Management'!$B$12:$S64,7,FALSE)</f>
        <v>Milton</v>
      </c>
      <c r="E12" s="18">
        <f>VLOOKUP($B12,'[1]Project Management'!$B$12:$S64,8,FALSE)</f>
        <v>1600</v>
      </c>
      <c r="F12" s="11" t="str">
        <f>VLOOKUP($B12,'[1]Project Management'!$B$12:$S64,9,FALSE)</f>
        <v>Garrison Colonial</v>
      </c>
      <c r="G12" s="11">
        <f>VLOOKUP($B12,'[1]Project Management'!$B$12:$S64,10,FALSE)</f>
        <v>2</v>
      </c>
      <c r="H12" s="11">
        <f>VLOOKUP($B12,'[1]Project Management'!$B$12:$S64,11,FALSE)</f>
        <v>1960</v>
      </c>
      <c r="I12" s="11" t="str">
        <f>VLOOKUP($B12,'[1]Project Management'!$B$12:$S64,13,FALSE)</f>
        <v>Complete</v>
      </c>
      <c r="J12" s="13" t="str">
        <f>VLOOKUP($B12,'[1]Project Statistics'!$B$8:$AA$27,9,FALSE)</f>
        <v>Y</v>
      </c>
      <c r="K12" s="13" t="str">
        <f>VLOOKUP($B12,'[1]Project Statistics'!$B$8:$AA$27,10,FALSE)</f>
        <v>take-off from drawings</v>
      </c>
      <c r="L12" s="13" t="str">
        <f>VLOOKUP($B12,'[1]Project Statistics'!$B$8:$AA$27,11,FALSE)</f>
        <v>Included</v>
      </c>
      <c r="M12" s="13" t="str">
        <f>VLOOKUP($B12,'[1]Project Statistics'!$B$8:$AA$27,12,FALSE)</f>
        <v>Included</v>
      </c>
      <c r="N12" s="13">
        <f>VLOOKUP($B12,'[1]Project Statistics'!$B$8:$AA$27,13,FALSE)</f>
        <v>2368</v>
      </c>
      <c r="O12" s="13">
        <f>VLOOKUP($B12,'[1]Project Statistics'!$B$8:$AA$27,14,FALSE)</f>
        <v>2368</v>
      </c>
      <c r="P12" s="13">
        <f>VLOOKUP($B12,'[1]Project Statistics'!$B$8:$AA$27,15,FALSE)</f>
        <v>3408</v>
      </c>
      <c r="Q12" s="13">
        <f>VLOOKUP($B12,'[1]Project Statistics'!$B$8:$AA$27,16,FALSE)</f>
        <v>3740</v>
      </c>
      <c r="R12" s="13">
        <f>VLOOKUP($B12,'[1]Project Statistics'!$B$8:$AA$27,17,FALSE)</f>
        <v>22457.599999999999</v>
      </c>
      <c r="S12" s="13">
        <f>VLOOKUP($B12,'[1]Project Statistics'!$B$8:$AA$27,18,FALSE)</f>
        <v>24457.599999999999</v>
      </c>
      <c r="T12" s="13">
        <f>VLOOKUP($B12,'[1]Project Statistics'!$B$8:$AA$27,19,FALSE)</f>
        <v>1695</v>
      </c>
      <c r="U12" s="13">
        <f>VLOOKUP($B12,'[1]Project Statistics'!$B$8:$AA$27,20,FALSE)</f>
        <v>584</v>
      </c>
      <c r="V12" s="23">
        <f>T12*60*(1/R12)</f>
        <v>4.5285337703049304</v>
      </c>
      <c r="W12" s="21">
        <f t="shared" si="4"/>
        <v>1.4326835012429675</v>
      </c>
      <c r="X12" s="22">
        <f t="shared" si="0"/>
        <v>0.49735915492957744</v>
      </c>
      <c r="Y12" s="21">
        <f t="shared" si="1"/>
        <v>0.15614973262032086</v>
      </c>
      <c r="Z12" s="22">
        <f t="shared" si="2"/>
        <v>0.71579391891891897</v>
      </c>
      <c r="AA12" s="21">
        <f t="shared" si="3"/>
        <v>0.24662162162162163</v>
      </c>
      <c r="AB12" s="30">
        <v>117.9</v>
      </c>
      <c r="AC12" s="30">
        <v>186.72</v>
      </c>
      <c r="AD12" s="43">
        <v>53.59</v>
      </c>
      <c r="AE12" s="33">
        <v>108.13</v>
      </c>
      <c r="AF12" s="33"/>
      <c r="AG12" s="33">
        <v>26.05</v>
      </c>
      <c r="AH12" s="33">
        <v>50.54</v>
      </c>
      <c r="AI12" s="33"/>
      <c r="AJ12" s="33">
        <v>2.4700000000000002</v>
      </c>
      <c r="AK12" s="33">
        <v>5.74</v>
      </c>
      <c r="AL12" s="37"/>
      <c r="AM12" s="79">
        <v>55.5</v>
      </c>
      <c r="AN12" s="79">
        <v>110.14</v>
      </c>
      <c r="AO12" s="79"/>
      <c r="AQ12">
        <f>VLOOKUP($B12,'[1]Project Management'!$B$12:$V64,21,FALSE)</f>
        <v>4</v>
      </c>
      <c r="AS12" s="87">
        <v>92.18</v>
      </c>
      <c r="AT12" s="87">
        <v>94.54</v>
      </c>
      <c r="AU12" s="87"/>
      <c r="AV12" s="87"/>
      <c r="AW12" s="102">
        <v>22.69</v>
      </c>
      <c r="AX12" s="102">
        <v>30.9</v>
      </c>
      <c r="AZ12" s="87">
        <v>75.78</v>
      </c>
      <c r="BA12" s="87">
        <v>32.35</v>
      </c>
      <c r="BB12" s="87"/>
      <c r="BC12" s="91">
        <v>10.15</v>
      </c>
      <c r="BD12" s="93">
        <v>7.2</v>
      </c>
      <c r="BE12" s="93">
        <v>15.9</v>
      </c>
      <c r="BF12" s="91"/>
      <c r="BG12" s="93">
        <v>33.9</v>
      </c>
      <c r="BH12" s="93">
        <v>17.059999999999999</v>
      </c>
      <c r="BI12" s="93">
        <v>16.649999999999999</v>
      </c>
      <c r="BJ12" s="92"/>
      <c r="BL12" s="37"/>
      <c r="BM12" s="37"/>
      <c r="BN12" s="37"/>
    </row>
    <row r="13" spans="1:66" ht="30">
      <c r="A13" s="10" t="s">
        <v>24</v>
      </c>
      <c r="B13" s="11" t="s">
        <v>29</v>
      </c>
      <c r="C13" s="12">
        <f>VLOOKUP($B13,'[1]Project Management'!$B$12:$S65,3,FALSE)</f>
        <v>1</v>
      </c>
      <c r="D13" s="12" t="str">
        <f>VLOOKUP($B13,'[1]Project Management'!$B$12:$S65,7,FALSE)</f>
        <v>Quincy</v>
      </c>
      <c r="E13" s="18">
        <f>VLOOKUP($B13,'[1]Project Management'!$B$12:$S65,8,FALSE)</f>
        <v>1808</v>
      </c>
      <c r="F13" s="11" t="str">
        <f>VLOOKUP($B13,'[1]Project Management'!$B$12:$S65,9,FALSE)</f>
        <v>bungalow</v>
      </c>
      <c r="G13" s="11">
        <f>VLOOKUP($B13,'[1]Project Management'!$B$12:$S65,10,FALSE)</f>
        <v>1.5</v>
      </c>
      <c r="H13" s="11">
        <f>VLOOKUP($B13,'[1]Project Management'!$B$12:$S65,11,FALSE)</f>
        <v>1905</v>
      </c>
      <c r="I13" s="11" t="str">
        <f>VLOOKUP($B13,'[1]Project Management'!$B$12:$S65,13,FALSE)</f>
        <v>Complete</v>
      </c>
      <c r="J13" s="13" t="str">
        <f>VLOOKUP($B13,'[1]Project Statistics'!$B$8:$AA$27,9,FALSE)</f>
        <v>Y</v>
      </c>
      <c r="K13" s="13" t="str">
        <f>VLOOKUP($B13,'[1]Project Statistics'!$B$8:$AA$27,10,FALSE)</f>
        <v>take-off from model</v>
      </c>
      <c r="L13" s="13" t="str">
        <f>VLOOKUP($B13,'[1]Project Statistics'!$B$8:$AA$27,11,FALSE)</f>
        <v>Included</v>
      </c>
      <c r="M13" s="13" t="str">
        <f>VLOOKUP($B13,'[1]Project Statistics'!$B$8:$AA$27,12,FALSE)</f>
        <v>Included</v>
      </c>
      <c r="N13" s="13">
        <f>VLOOKUP($B13,'[1]Project Statistics'!$B$8:$AA$27,13,FALSE)</f>
        <v>3484</v>
      </c>
      <c r="O13" s="13">
        <f>VLOOKUP($B13,'[1]Project Statistics'!$B$8:$AA$27,14,FALSE)</f>
        <v>4576</v>
      </c>
      <c r="P13" s="13">
        <f>VLOOKUP($B13,'[1]Project Statistics'!$B$8:$AA$27,15,FALSE)</f>
        <v>5340</v>
      </c>
      <c r="Q13" s="13">
        <f>VLOOKUP($B13,'[1]Project Statistics'!$B$8:$AA$27,16,FALSE)</f>
        <v>6806</v>
      </c>
      <c r="R13" s="13">
        <f>VLOOKUP($B13,'[1]Project Statistics'!$B$8:$AA$27,17,FALSE)</f>
        <v>16350</v>
      </c>
      <c r="S13" s="13">
        <f>VLOOKUP($B13,'[1]Project Statistics'!$B$8:$AA$27,18,FALSE)</f>
        <v>36346</v>
      </c>
      <c r="T13" s="13">
        <f>VLOOKUP($B13,'[1]Project Statistics'!$B$8:$AA$27,19,FALSE)</f>
        <v>5050</v>
      </c>
      <c r="U13" s="13">
        <f>VLOOKUP($B13,'[1]Project Statistics'!$B$8:$AA$27,20,FALSE)</f>
        <v>762</v>
      </c>
      <c r="V13" s="19">
        <v>18.53</v>
      </c>
      <c r="W13" s="21">
        <f t="shared" si="4"/>
        <v>1.2579100863919002</v>
      </c>
      <c r="X13" s="22">
        <f t="shared" si="0"/>
        <v>0.94569288389513106</v>
      </c>
      <c r="Y13" s="21">
        <f t="shared" si="1"/>
        <v>0.11196003526300323</v>
      </c>
      <c r="Z13" s="22">
        <f t="shared" si="2"/>
        <v>1.4494833524684272</v>
      </c>
      <c r="AA13" s="21">
        <f t="shared" si="3"/>
        <v>0.16652097902097901</v>
      </c>
      <c r="AB13" s="30">
        <v>223.29</v>
      </c>
      <c r="AC13" s="30">
        <v>325.38</v>
      </c>
      <c r="AD13" s="43">
        <v>59.97</v>
      </c>
      <c r="AE13" s="33">
        <v>140.22</v>
      </c>
      <c r="AF13" s="33"/>
      <c r="AG13" s="33">
        <v>29.67</v>
      </c>
      <c r="AH13" s="33">
        <v>69.75</v>
      </c>
      <c r="AI13" s="33"/>
      <c r="AJ13" s="33">
        <v>2.92</v>
      </c>
      <c r="AK13" s="33">
        <v>8.16</v>
      </c>
      <c r="AL13" s="37"/>
      <c r="AM13" s="79">
        <v>64.930000000000007</v>
      </c>
      <c r="AN13" s="79">
        <v>145.41999999999999</v>
      </c>
      <c r="AO13" s="79"/>
      <c r="AQ13">
        <f>VLOOKUP($B13,'[1]Project Management'!$B$12:$V65,21,FALSE)</f>
        <v>5</v>
      </c>
      <c r="AS13" s="87">
        <v>143.13999999999999</v>
      </c>
      <c r="AT13" s="87"/>
      <c r="AU13" s="87">
        <v>182.24</v>
      </c>
      <c r="AV13" s="87"/>
      <c r="AW13" s="102">
        <v>33.770000000000003</v>
      </c>
      <c r="AX13" s="102">
        <v>26.2</v>
      </c>
      <c r="AZ13" s="87">
        <v>112.79</v>
      </c>
      <c r="BA13" s="87">
        <v>27.43</v>
      </c>
      <c r="BB13" s="87"/>
      <c r="BC13" s="91">
        <v>16.87</v>
      </c>
      <c r="BD13" s="91">
        <v>14.62</v>
      </c>
      <c r="BE13" s="91">
        <v>12.8</v>
      </c>
      <c r="BF13" s="91"/>
      <c r="BG13" s="91">
        <v>56.35</v>
      </c>
      <c r="BH13" s="91">
        <v>22.13</v>
      </c>
      <c r="BI13" s="91">
        <v>13.4</v>
      </c>
      <c r="BJ13" s="92"/>
    </row>
    <row r="14" spans="1:66" ht="45">
      <c r="A14" s="10" t="s">
        <v>24</v>
      </c>
      <c r="B14" s="11" t="s">
        <v>30</v>
      </c>
      <c r="C14" s="12">
        <f>VLOOKUP($B14,'[1]Project Management'!$B$12:$S66,3,FALSE)</f>
        <v>2</v>
      </c>
      <c r="D14" s="12" t="str">
        <f>VLOOKUP($B14,'[1]Project Management'!$B$12:$S66,7,FALSE)</f>
        <v>Arlington</v>
      </c>
      <c r="E14" s="18">
        <f>VLOOKUP($B14,'[1]Project Management'!$B$12:$S67,8,FALSE)</f>
        <v>2112</v>
      </c>
      <c r="F14" s="11" t="str">
        <f>VLOOKUP($B14,'[1]Project Management'!$B$12:$S67,9,FALSE)</f>
        <v>2 family</v>
      </c>
      <c r="G14" s="11">
        <f>VLOOKUP($B14,'[1]Project Management'!$B$12:$S67,10,FALSE)</f>
        <v>2</v>
      </c>
      <c r="H14" s="11">
        <f>VLOOKUP($B14,'[1]Project Management'!$B$12:$S67,11,FALSE)</f>
        <v>1910</v>
      </c>
      <c r="I14" s="11" t="str">
        <f>VLOOKUP($B14,'[1]Project Management'!$B$12:$S67,13,FALSE)</f>
        <v>Complete</v>
      </c>
      <c r="J14" s="13">
        <f>VLOOKUP($B14,'[1]Project Statistics'!$B$8:$AA$27,9,FALSE)</f>
        <v>0</v>
      </c>
      <c r="K14" s="13" t="str">
        <f>VLOOKUP($B14,'[1]Project Statistics'!$B$8:$AA$27,10,FALSE)</f>
        <v>take-off from drawings</v>
      </c>
      <c r="L14" s="13" t="str">
        <f>VLOOKUP($B14,'[1]Project Statistics'!$B$8:$AA$27,11,FALSE)</f>
        <v>Excluded</v>
      </c>
      <c r="M14" s="13" t="str">
        <f>VLOOKUP($B14,'[1]Project Statistics'!$B$8:$AA$27,12,FALSE)</f>
        <v>Excluded</v>
      </c>
      <c r="N14" s="13">
        <f>VLOOKUP($B14,'[1]Project Statistics'!$B$8:$AA$27,13,FALSE)</f>
        <v>2502</v>
      </c>
      <c r="O14" s="13">
        <f>VLOOKUP($B14,'[1]Project Statistics'!$B$8:$AA$27,14,FALSE)</f>
        <v>3627</v>
      </c>
      <c r="P14" s="13">
        <f>VLOOKUP($B14,'[1]Project Statistics'!$B$8:$AA$27,15,FALSE)</f>
        <v>5153</v>
      </c>
      <c r="Q14" s="13">
        <f>VLOOKUP($B14,'[1]Project Statistics'!$B$8:$AA$27,16,FALSE)</f>
        <v>5925</v>
      </c>
      <c r="R14" s="13">
        <f>VLOOKUP($B14,'[1]Project Statistics'!$B$8:$AA$27,17,FALSE)</f>
        <v>20157</v>
      </c>
      <c r="S14" s="13">
        <f>VLOOKUP($B14,'[1]Project Statistics'!$B$8:$AA$27,18,FALSE)</f>
        <v>29648</v>
      </c>
      <c r="T14" s="13">
        <f>VLOOKUP($B14,'[1]Project Statistics'!$B$8:$AA$27,19,FALSE)</f>
        <v>8730</v>
      </c>
      <c r="U14" s="13">
        <f>VLOOKUP($B14,'[1]Project Statistics'!$B$8:$AA$27,20,FALSE)</f>
        <v>3586</v>
      </c>
      <c r="V14" s="23">
        <f>T14*60*(1/R14)</f>
        <v>25.986009822890313</v>
      </c>
      <c r="W14" s="21">
        <f t="shared" si="4"/>
        <v>7.2571505666486775</v>
      </c>
      <c r="X14" s="22">
        <f t="shared" si="0"/>
        <v>1.6941587424801088</v>
      </c>
      <c r="Y14" s="21">
        <f t="shared" si="1"/>
        <v>0.60523206751054848</v>
      </c>
      <c r="Z14" s="24">
        <f t="shared" si="2"/>
        <v>3.4892086330935252</v>
      </c>
      <c r="AA14" s="25">
        <f t="shared" si="3"/>
        <v>0.98869589192169838</v>
      </c>
      <c r="AB14" s="24">
        <v>390.16</v>
      </c>
      <c r="AC14" s="24">
        <v>477.88</v>
      </c>
      <c r="AD14" s="44">
        <v>100.75</v>
      </c>
      <c r="AE14" s="26">
        <v>216.58</v>
      </c>
      <c r="AF14" s="26"/>
      <c r="AG14" s="32">
        <v>44.42</v>
      </c>
      <c r="AH14" s="32">
        <v>91.72</v>
      </c>
      <c r="AI14" s="32"/>
      <c r="AJ14" s="32">
        <v>4.1500000000000004</v>
      </c>
      <c r="AK14" s="32">
        <v>10.76</v>
      </c>
      <c r="AL14" s="37"/>
      <c r="AM14" s="79">
        <v>103.53</v>
      </c>
      <c r="AN14" s="79">
        <v>219.49</v>
      </c>
      <c r="AO14" s="79"/>
      <c r="AQ14">
        <f>VLOOKUP($B14,'[1]Project Management'!$B$12:$V67,21,FALSE)</f>
        <v>6</v>
      </c>
      <c r="AS14" s="87">
        <v>101.07</v>
      </c>
      <c r="AT14" s="87">
        <v>376.82</v>
      </c>
      <c r="AU14" s="87"/>
      <c r="AV14" s="87"/>
      <c r="AW14" s="102">
        <v>48.45</v>
      </c>
      <c r="AX14" s="102">
        <v>52.3</v>
      </c>
      <c r="AZ14" s="87">
        <v>161.83000000000001</v>
      </c>
      <c r="BA14" s="87">
        <v>54.76</v>
      </c>
      <c r="BB14" s="87"/>
      <c r="BC14" s="91">
        <v>19.72</v>
      </c>
      <c r="BD14" s="91"/>
      <c r="BE14" s="91">
        <v>24.7</v>
      </c>
      <c r="BF14" s="91"/>
      <c r="BG14" s="91">
        <v>65.849999999999994</v>
      </c>
      <c r="BH14" s="91"/>
      <c r="BI14" s="91">
        <v>25.86</v>
      </c>
      <c r="BJ14" s="92"/>
    </row>
    <row r="15" spans="1:66">
      <c r="A15" s="10" t="s">
        <v>31</v>
      </c>
      <c r="B15" s="11" t="s">
        <v>32</v>
      </c>
      <c r="C15" s="12">
        <f>VLOOKUP($B15,'[1]Project Management'!$B$12:$S67,3,FALSE)</f>
        <v>1</v>
      </c>
      <c r="D15" s="12" t="str">
        <f>VLOOKUP($B15,'[1]Project Management'!$B$12:$S67,7,FALSE)</f>
        <v>Newton</v>
      </c>
      <c r="E15" s="18">
        <f>VLOOKUP($B15,'[1]Project Management'!$B$12:$S68,8,FALSE)</f>
        <v>1724</v>
      </c>
      <c r="F15" s="11" t="str">
        <f>VLOOKUP($B15,'[1]Project Management'!$B$12:$S68,9,FALSE)</f>
        <v>Colonial</v>
      </c>
      <c r="G15" s="11">
        <f>VLOOKUP($B15,'[1]Project Management'!$B$12:$S68,10,FALSE)</f>
        <v>1</v>
      </c>
      <c r="H15" s="11">
        <f>VLOOKUP($B15,'[1]Project Management'!$B$12:$S68,11,FALSE)</f>
        <v>1930</v>
      </c>
      <c r="I15" s="11" t="str">
        <f>VLOOKUP($B15,'[1]Project Management'!$B$12:$S68,13,FALSE)</f>
        <v>Complete</v>
      </c>
      <c r="J15" s="13" t="str">
        <f>VLOOKUP($B15,'[1]Project Statistics'!$B$8:$AA$27,9,FALSE)</f>
        <v>Y</v>
      </c>
      <c r="K15" s="13">
        <f>VLOOKUP($B15,'[1]Project Statistics'!$B$8:$AA$27,10,FALSE)</f>
        <v>0</v>
      </c>
      <c r="L15" s="13">
        <f>VLOOKUP($B15,'[1]Project Statistics'!$B$8:$AA$27,11,FALSE)</f>
        <v>0</v>
      </c>
      <c r="M15" s="13">
        <f>VLOOKUP($B15,'[1]Project Statistics'!$B$8:$AA$27,12,FALSE)</f>
        <v>0</v>
      </c>
      <c r="N15" s="13">
        <f>VLOOKUP($B15,'[1]Project Statistics'!$B$8:$AA$27,13,FALSE)</f>
        <v>1815</v>
      </c>
      <c r="O15" s="13">
        <f>VLOOKUP($B15,'[1]Project Statistics'!$B$8:$AA$27,14,FALSE)</f>
        <v>2199</v>
      </c>
      <c r="P15" s="13">
        <f>VLOOKUP($B15,'[1]Project Statistics'!$B$8:$AA$27,15,FALSE)</f>
        <v>3729</v>
      </c>
      <c r="Q15" s="13">
        <f>VLOOKUP($B15,'[1]Project Statistics'!$B$8:$AA$27,16,FALSE)</f>
        <v>4337</v>
      </c>
      <c r="R15" s="13">
        <f>VLOOKUP($B15,'[1]Project Statistics'!$B$8:$AA$27,17,FALSE)</f>
        <v>18831</v>
      </c>
      <c r="S15" s="13">
        <f>VLOOKUP($B15,'[1]Project Statistics'!$B$8:$AA$27,18,FALSE)</f>
        <v>21904</v>
      </c>
      <c r="T15" s="13">
        <f>VLOOKUP($B15,'[1]Project Statistics'!$B$8:$AA$27,19,FALSE)</f>
        <v>3199</v>
      </c>
      <c r="U15" s="13">
        <f>VLOOKUP($B15,'[1]Project Statistics'!$B$8:$AA$27,20,FALSE)</f>
        <v>1299</v>
      </c>
      <c r="V15" s="23">
        <f>T15*60*(1/R15)</f>
        <v>10.192767245499441</v>
      </c>
      <c r="W15" s="21">
        <f t="shared" si="4"/>
        <v>3.558254200146092</v>
      </c>
      <c r="X15" s="22">
        <f t="shared" si="0"/>
        <v>0.857870742826495</v>
      </c>
      <c r="Y15" s="21">
        <f t="shared" si="1"/>
        <v>0.29951579432787639</v>
      </c>
      <c r="Z15" s="22">
        <f t="shared" si="2"/>
        <v>1.7625344352617081</v>
      </c>
      <c r="AA15" s="21">
        <f t="shared" si="3"/>
        <v>0.59072305593451568</v>
      </c>
      <c r="AB15" s="22">
        <v>148.27000000000001</v>
      </c>
      <c r="AC15" s="22">
        <v>215.02</v>
      </c>
      <c r="AD15" s="45">
        <v>66.16</v>
      </c>
      <c r="AE15" s="26">
        <v>125.36</v>
      </c>
      <c r="AF15" s="26"/>
      <c r="AG15" s="32">
        <v>28.33</v>
      </c>
      <c r="AH15" s="32">
        <v>55.42</v>
      </c>
      <c r="AI15" s="32"/>
      <c r="AJ15" s="32">
        <v>2.59</v>
      </c>
      <c r="AK15" s="32">
        <v>6.25</v>
      </c>
      <c r="AL15" s="80"/>
      <c r="AM15" s="79">
        <v>68.52</v>
      </c>
      <c r="AN15" s="79">
        <v>127.83</v>
      </c>
      <c r="AO15" s="79"/>
      <c r="AQ15">
        <f>VLOOKUP($B15,'[1]Project Management'!$B$12:$V68,21,FALSE)</f>
        <v>7</v>
      </c>
      <c r="AS15" s="87">
        <v>87.08</v>
      </c>
      <c r="AT15" s="87">
        <v>127.94</v>
      </c>
      <c r="AU15" s="87"/>
      <c r="AV15" s="87"/>
      <c r="AW15" s="102">
        <v>24.46</v>
      </c>
      <c r="AX15" s="102">
        <v>41.7</v>
      </c>
      <c r="AZ15" s="87">
        <v>81.7</v>
      </c>
      <c r="BA15" s="87">
        <v>43.66</v>
      </c>
      <c r="BB15" s="87"/>
      <c r="BC15" s="91">
        <v>11.23</v>
      </c>
      <c r="BD15" s="91"/>
      <c r="BE15" s="91">
        <v>17.100000000000001</v>
      </c>
      <c r="BF15" s="91"/>
      <c r="BG15" s="91">
        <v>37.520000000000003</v>
      </c>
      <c r="BH15" s="91"/>
      <c r="BI15" s="91">
        <v>17.899999999999999</v>
      </c>
      <c r="BJ15" s="92"/>
    </row>
    <row r="16" spans="1:66">
      <c r="A16" s="10" t="s">
        <v>24</v>
      </c>
      <c r="B16" s="11" t="s">
        <v>33</v>
      </c>
      <c r="C16" s="12">
        <f>VLOOKUP($B16,'[1]Project Management'!$B$12:$S68,3,FALSE)</f>
        <v>3</v>
      </c>
      <c r="D16" s="12" t="str">
        <f>VLOOKUP($B16,'[1]Project Management'!$B$12:$S68,7,FALSE)</f>
        <v>Jamaica Plain</v>
      </c>
      <c r="E16" s="18">
        <f>VLOOKUP($B16,'[1]Project Management'!$B$12:$S66,8,FALSE)</f>
        <v>3885</v>
      </c>
      <c r="F16" s="11" t="str">
        <f>VLOOKUP($B16,'[1]Project Management'!$B$12:$S66,9,FALSE)</f>
        <v>3-family</v>
      </c>
      <c r="G16" s="11">
        <f>VLOOKUP($B16,'[1]Project Management'!$B$12:$S66,10,FALSE)</f>
        <v>3</v>
      </c>
      <c r="H16" s="11">
        <f>VLOOKUP($B16,'[1]Project Management'!$B$12:$S66,11,FALSE)</f>
        <v>1907</v>
      </c>
      <c r="I16" s="11" t="str">
        <f>VLOOKUP($B16,'[1]Project Management'!$B$12:$S66,13,FALSE)</f>
        <v>Complete</v>
      </c>
      <c r="J16" s="13">
        <f>VLOOKUP($B16,'[1]Project Statistics'!$B$8:$AA$27,9,FALSE)</f>
        <v>0</v>
      </c>
      <c r="K16" s="13">
        <f>VLOOKUP($B16,'[1]Project Statistics'!$B$8:$AA$27,10,FALSE)</f>
        <v>0</v>
      </c>
      <c r="L16" s="13">
        <f>VLOOKUP($B16,'[1]Project Statistics'!$B$8:$AA$27,11,FALSE)</f>
        <v>0</v>
      </c>
      <c r="M16" s="13">
        <f>VLOOKUP($B16,'[1]Project Statistics'!$B$8:$AA$27,12,FALSE)</f>
        <v>0</v>
      </c>
      <c r="N16" s="13">
        <f>VLOOKUP($B16,'[1]Project Statistics'!$B$8:$AA$27,13,FALSE)</f>
        <v>3885</v>
      </c>
      <c r="O16" s="13">
        <f>VLOOKUP($B16,'[1]Project Statistics'!$B$8:$AA$27,14,FALSE)</f>
        <v>3885</v>
      </c>
      <c r="P16" s="13">
        <f>VLOOKUP($B16,'[1]Project Statistics'!$B$8:$AA$27,15,FALSE)</f>
        <v>6308</v>
      </c>
      <c r="Q16" s="13">
        <f>VLOOKUP($B16,'[1]Project Statistics'!$B$8:$AA$27,16,FALSE)</f>
        <v>7456</v>
      </c>
      <c r="R16" s="13">
        <f>VLOOKUP($B16,'[1]Project Statistics'!$B$8:$AA$27,17,FALSE)</f>
        <v>42586</v>
      </c>
      <c r="S16" s="13">
        <f>VLOOKUP($B16,'[1]Project Statistics'!$B$8:$AA$27,18,FALSE)</f>
        <v>42586</v>
      </c>
      <c r="T16" s="13">
        <f>VLOOKUP($B16,'[1]Project Statistics'!$B$8:$AA$27,19,FALSE)</f>
        <v>7729</v>
      </c>
      <c r="U16" s="13">
        <f>VLOOKUP($B16,'[1]Project Statistics'!$B$8:$AA$27,20,FALSE)</f>
        <v>1802</v>
      </c>
      <c r="V16" s="23">
        <f>T16*60*(1/R16)</f>
        <v>10.889494199971821</v>
      </c>
      <c r="W16" s="21">
        <f t="shared" si="4"/>
        <v>2.5388625369839852</v>
      </c>
      <c r="X16" s="22">
        <f t="shared" si="0"/>
        <v>1.2252694990488269</v>
      </c>
      <c r="Y16" s="21">
        <f t="shared" si="1"/>
        <v>0.24168454935622319</v>
      </c>
      <c r="Z16" s="22">
        <f t="shared" si="2"/>
        <v>1.9894465894465894</v>
      </c>
      <c r="AA16" s="21">
        <f t="shared" si="3"/>
        <v>0.46383526383526386</v>
      </c>
      <c r="AB16" s="22">
        <v>202.65</v>
      </c>
      <c r="AC16" s="22">
        <v>268.45999999999998</v>
      </c>
      <c r="AD16" s="45">
        <v>100.8</v>
      </c>
      <c r="AE16" s="16">
        <v>153.69999999999999</v>
      </c>
      <c r="AF16" s="31"/>
      <c r="AG16" s="31">
        <v>50.35</v>
      </c>
      <c r="AH16" s="31">
        <v>75.52</v>
      </c>
      <c r="AI16" s="31"/>
      <c r="AJ16" s="31">
        <v>4.38</v>
      </c>
      <c r="AK16" s="31">
        <v>8.08</v>
      </c>
      <c r="AL16" s="78"/>
      <c r="AM16" s="79">
        <v>112.73</v>
      </c>
      <c r="AN16" s="79">
        <v>166.19</v>
      </c>
      <c r="AO16" s="79"/>
      <c r="AQ16">
        <f>VLOOKUP($B16,'[1]Project Management'!$B$12:$V66,21,FALSE)</f>
        <v>8</v>
      </c>
      <c r="AS16" s="87">
        <v>81.98</v>
      </c>
      <c r="AT16" s="87">
        <v>186.47</v>
      </c>
      <c r="AU16" s="87"/>
      <c r="AV16" s="87"/>
      <c r="AW16" s="102">
        <v>21</v>
      </c>
      <c r="AX16" s="102">
        <v>79.8</v>
      </c>
      <c r="AZ16" s="87">
        <v>70.14</v>
      </c>
      <c r="BA16" s="87">
        <v>83.55</v>
      </c>
      <c r="BB16" s="87"/>
      <c r="BC16" s="91">
        <v>9.9499999999999993</v>
      </c>
      <c r="BD16" s="91">
        <v>4.9000000000000004</v>
      </c>
      <c r="BE16" s="91">
        <v>40.4</v>
      </c>
      <c r="BF16" s="91"/>
      <c r="BG16" s="91">
        <v>33.22</v>
      </c>
      <c r="BH16" s="91">
        <v>21.76</v>
      </c>
      <c r="BI16" s="91">
        <v>42.3</v>
      </c>
      <c r="BJ16" s="92"/>
    </row>
    <row r="17" spans="1:62" ht="30">
      <c r="A17" s="10" t="s">
        <v>24</v>
      </c>
      <c r="B17" s="11" t="s">
        <v>34</v>
      </c>
      <c r="C17" s="12">
        <f>VLOOKUP($B17,'[1]Project Management'!$B$12:$S69,3,FALSE)</f>
        <v>1</v>
      </c>
      <c r="D17" s="12" t="str">
        <f>VLOOKUP($B17,'[1]Project Management'!$B$12:$S69,7,FALSE)</f>
        <v>Northampton</v>
      </c>
      <c r="E17" s="18">
        <f>VLOOKUP($B17,'[1]Project Management'!$B$12:$S69,8,FALSE)</f>
        <v>2032</v>
      </c>
      <c r="F17" s="11" t="str">
        <f>VLOOKUP($B17,'[1]Project Management'!$B$12:$S69,9,FALSE)</f>
        <v>Victorian</v>
      </c>
      <c r="G17" s="11">
        <f>VLOOKUP($B17,'[1]Project Management'!$B$12:$S69,10,FALSE)</f>
        <v>1</v>
      </c>
      <c r="H17" s="11">
        <f>VLOOKUP($B17,'[1]Project Management'!$B$12:$S69,11,FALSE)</f>
        <v>1859</v>
      </c>
      <c r="I17" s="11" t="str">
        <f>VLOOKUP($B17,'[1]Project Management'!$B$12:$S69,13,FALSE)</f>
        <v>Complete</v>
      </c>
      <c r="J17" s="13">
        <f>VLOOKUP($B17,'[1]Project Statistics'!$B$8:$AA$27,9,FALSE)</f>
        <v>0</v>
      </c>
      <c r="K17" s="13">
        <f>VLOOKUP($B17,'[1]Project Statistics'!$B$8:$AA$27,10,FALSE)</f>
        <v>0</v>
      </c>
      <c r="L17" s="13">
        <f>VLOOKUP($B17,'[1]Project Statistics'!$B$8:$AA$27,11,FALSE)</f>
        <v>0</v>
      </c>
      <c r="M17" s="13" t="str">
        <f>VLOOKUP($B17,'[1]Project Statistics'!$B$8:$AA$27,12,FALSE)</f>
        <v>Included</v>
      </c>
      <c r="N17" s="13">
        <f>VLOOKUP($B17,'[1]Project Statistics'!$B$8:$AA$27,13,FALSE)</f>
        <v>2032</v>
      </c>
      <c r="O17" s="13">
        <f>VLOOKUP($B17,'[1]Project Statistics'!$B$8:$AA$27,14,FALSE)</f>
        <v>2747</v>
      </c>
      <c r="P17" s="13">
        <f>VLOOKUP($B17,'[1]Project Statistics'!$B$8:$AA$27,15,FALSE)</f>
        <v>6711</v>
      </c>
      <c r="Q17" s="13">
        <f>VLOOKUP($B17,'[1]Project Statistics'!$B$8:$AA$27,16,FALSE)</f>
        <v>7798</v>
      </c>
      <c r="R17" s="13">
        <f>VLOOKUP($B17,'[1]Project Statistics'!$B$8:$AA$27,17,FALSE)</f>
        <v>0</v>
      </c>
      <c r="S17" s="13">
        <f>VLOOKUP($B17,'[1]Project Statistics'!$B$8:$AA$27,18,FALSE)</f>
        <v>34624</v>
      </c>
      <c r="T17" s="13">
        <f>VLOOKUP($B17,'[1]Project Statistics'!$B$8:$AA$27,19,FALSE)</f>
        <v>6155</v>
      </c>
      <c r="U17" s="13">
        <f>VLOOKUP($B17,'[1]Project Statistics'!$B$8:$AA$27,20,FALSE)</f>
        <v>473</v>
      </c>
      <c r="V17" s="23"/>
      <c r="W17" s="21">
        <f t="shared" si="4"/>
        <v>0.81966266173752311</v>
      </c>
      <c r="X17" s="22">
        <f t="shared" si="0"/>
        <v>0.91715094620771864</v>
      </c>
      <c r="Y17" s="21">
        <f t="shared" si="1"/>
        <v>6.0656578609899973E-2</v>
      </c>
      <c r="Z17" s="22">
        <f t="shared" si="2"/>
        <v>3.0290354330708662</v>
      </c>
      <c r="AA17" s="21">
        <f t="shared" si="3"/>
        <v>0.17218784128139789</v>
      </c>
      <c r="AB17" s="22">
        <v>131.56</v>
      </c>
      <c r="AC17" s="22">
        <v>172.52</v>
      </c>
      <c r="AD17" s="45">
        <v>26.27</v>
      </c>
      <c r="AE17" s="32">
        <v>87.74</v>
      </c>
      <c r="AF17" s="26"/>
      <c r="AG17" s="32">
        <v>12.38</v>
      </c>
      <c r="AH17" s="32">
        <v>41.35</v>
      </c>
      <c r="AI17" s="32"/>
      <c r="AJ17" s="32">
        <v>1.61</v>
      </c>
      <c r="AK17" s="32">
        <v>5.37</v>
      </c>
      <c r="AL17" s="80"/>
      <c r="AM17" s="79">
        <v>27.9</v>
      </c>
      <c r="AN17" s="79">
        <v>93.19</v>
      </c>
      <c r="AO17" s="79"/>
      <c r="AQ17">
        <f>VLOOKUP($B17,'[1]Project Management'!$B$12:$V70,21,FALSE)</f>
        <v>9</v>
      </c>
      <c r="AS17" s="87">
        <v>50.65</v>
      </c>
      <c r="AT17" s="87">
        <v>121.87</v>
      </c>
      <c r="AU17" s="87"/>
      <c r="AV17" s="87"/>
      <c r="AW17" s="102">
        <v>26.27</v>
      </c>
      <c r="AZ17" s="87">
        <v>87.74</v>
      </c>
      <c r="BA17" s="87"/>
      <c r="BB17" s="87"/>
      <c r="BC17" s="91">
        <v>12.38</v>
      </c>
      <c r="BD17" s="91">
        <v>10.91</v>
      </c>
      <c r="BE17" s="91"/>
      <c r="BF17" s="91"/>
      <c r="BG17" s="91">
        <v>41.35</v>
      </c>
      <c r="BH17" s="91">
        <v>15.81</v>
      </c>
      <c r="BI17" s="91"/>
      <c r="BJ17" s="92"/>
    </row>
    <row r="18" spans="1:62" ht="90">
      <c r="A18" s="10" t="s">
        <v>24</v>
      </c>
      <c r="B18" s="11" t="s">
        <v>35</v>
      </c>
      <c r="C18" s="12">
        <f>VLOOKUP($B18,'[1]Project Management'!$B$12:$S70,3,FALSE)</f>
        <v>1</v>
      </c>
      <c r="D18" s="12" t="str">
        <f>VLOOKUP($B18,'[1]Project Management'!$B$12:$S70,7,FALSE)</f>
        <v>Lancaster</v>
      </c>
      <c r="E18" s="18">
        <f>VLOOKUP($B18,'[1]Project Management'!$B$12:$S68,8,FALSE)</f>
        <v>908</v>
      </c>
      <c r="F18" s="11" t="str">
        <f>VLOOKUP($B18,'[1]Project Management'!$B$12:$S68,9,FALSE)</f>
        <v>Cape to Colonial</v>
      </c>
      <c r="G18" s="11">
        <f>VLOOKUP($B18,'[1]Project Management'!$B$12:$S68,10,FALSE)</f>
        <v>2</v>
      </c>
      <c r="H18" s="11">
        <f>VLOOKUP($B18,'[1]Project Management'!$B$12:$S68,11,FALSE)</f>
        <v>1900</v>
      </c>
      <c r="I18" s="11" t="str">
        <f>VLOOKUP($B18,'[1]Project Management'!$B$12:$S68,13,FALSE)</f>
        <v>Complete</v>
      </c>
      <c r="J18" s="13" t="str">
        <f>VLOOKUP($B18,'[1]Project Statistics'!$B$8:$AA$27,9,FALSE)</f>
        <v>Y</v>
      </c>
      <c r="K18" s="13">
        <f>VLOOKUP($B18,'[1]Project Statistics'!$B$8:$AA$27,10,FALSE)</f>
        <v>0</v>
      </c>
      <c r="L18" s="13">
        <f>VLOOKUP($B18,'[1]Project Statistics'!$B$8:$AA$27,11,FALSE)</f>
        <v>0</v>
      </c>
      <c r="M18" s="13">
        <f>VLOOKUP($B18,'[1]Project Statistics'!$B$8:$AA$27,12,FALSE)</f>
        <v>0</v>
      </c>
      <c r="N18" s="13">
        <f>VLOOKUP($B18,'[1]Project Statistics'!$B$8:$AA$27,13,FALSE)</f>
        <v>980</v>
      </c>
      <c r="O18" s="13">
        <f>VLOOKUP($B18,'[1]Project Statistics'!$B$8:$AA$27,14,FALSE)</f>
        <v>1440</v>
      </c>
      <c r="P18" s="13">
        <f>VLOOKUP($B18,'[1]Project Statistics'!$B$8:$AA$27,15,FALSE)</f>
        <v>2583</v>
      </c>
      <c r="Q18" s="13">
        <f>VLOOKUP($B18,'[1]Project Statistics'!$B$8:$AA$27,16,FALSE)</f>
        <v>3222</v>
      </c>
      <c r="R18" s="13">
        <f>VLOOKUP($B18,'[1]Project Statistics'!$B$8:$AA$27,17,FALSE)</f>
        <v>7080</v>
      </c>
      <c r="S18" s="13">
        <f>VLOOKUP($B18,'[1]Project Statistics'!$B$8:$AA$27,18,FALSE)</f>
        <v>12336</v>
      </c>
      <c r="T18" s="13">
        <f>VLOOKUP($B18,'[1]Project Statistics'!$B$8:$AA$27,19,FALSE)</f>
        <v>4254</v>
      </c>
      <c r="U18" s="13">
        <f>VLOOKUP($B18,'[1]Project Statistics'!$B$8:$AA$27,20,FALSE)</f>
        <v>293</v>
      </c>
      <c r="V18" s="23">
        <f>T18*60*(1/R18)</f>
        <v>36.050847457627121</v>
      </c>
      <c r="W18" s="21">
        <f t="shared" si="4"/>
        <v>1.4250972762645915</v>
      </c>
      <c r="X18" s="22">
        <f t="shared" si="0"/>
        <v>1.6469221835075494</v>
      </c>
      <c r="Y18" s="21">
        <f t="shared" si="1"/>
        <v>9.0937306021104905E-2</v>
      </c>
      <c r="Z18" s="22">
        <f t="shared" si="2"/>
        <v>4.3408163265306126</v>
      </c>
      <c r="AA18" s="21">
        <f t="shared" si="3"/>
        <v>0.20347222222222222</v>
      </c>
      <c r="AB18" s="22">
        <v>121.66</v>
      </c>
      <c r="AC18" s="22">
        <v>167.79</v>
      </c>
      <c r="AD18" s="45"/>
      <c r="AE18" s="26"/>
      <c r="AF18" s="32"/>
      <c r="AG18" s="32">
        <v>22.26</v>
      </c>
      <c r="AH18" s="32">
        <v>50.03</v>
      </c>
      <c r="AI18" s="32"/>
      <c r="AJ18" s="32">
        <v>3.3</v>
      </c>
      <c r="AK18" s="32">
        <v>6.98</v>
      </c>
      <c r="AL18" s="37"/>
      <c r="AM18" s="79">
        <v>22.48</v>
      </c>
      <c r="AN18" s="79">
        <v>50.78</v>
      </c>
      <c r="AO18" s="79">
        <v>22.88</v>
      </c>
      <c r="AP18" s="79">
        <v>52.13</v>
      </c>
      <c r="AQ18">
        <f>VLOOKUP($B18,'[1]Project Management'!$B$12:$V69,21,FALSE)</f>
        <v>10</v>
      </c>
      <c r="AS18" s="87">
        <v>64.38</v>
      </c>
      <c r="AT18" s="87">
        <v>103.41</v>
      </c>
      <c r="AU18" s="87"/>
      <c r="AV18" s="87"/>
      <c r="AW18" s="91">
        <v>11.66</v>
      </c>
      <c r="AX18" s="91">
        <v>10.6</v>
      </c>
      <c r="AZ18" s="87">
        <v>38.93</v>
      </c>
      <c r="BA18" s="87">
        <v>11.1</v>
      </c>
      <c r="BB18" s="87"/>
      <c r="BC18" s="91">
        <v>11.66</v>
      </c>
      <c r="BD18" s="91">
        <v>7.11</v>
      </c>
      <c r="BE18" s="91">
        <v>10.6</v>
      </c>
      <c r="BF18" s="91"/>
      <c r="BG18" s="91">
        <v>38.93</v>
      </c>
      <c r="BH18" s="91">
        <v>22.29</v>
      </c>
      <c r="BI18" s="91">
        <v>11.1</v>
      </c>
      <c r="BJ18" s="92"/>
    </row>
    <row r="19" spans="1:62">
      <c r="A19" s="10" t="s">
        <v>24</v>
      </c>
      <c r="B19" s="11" t="s">
        <v>36</v>
      </c>
      <c r="C19" s="12">
        <f>VLOOKUP($B19,'[1]Project Management'!$B$12:$S71,3,FALSE)</f>
        <v>1</v>
      </c>
      <c r="D19" s="12" t="str">
        <f>VLOOKUP($B19,'[1]Project Management'!$B$12:$S71,7,FALSE)</f>
        <v>Brookline</v>
      </c>
      <c r="E19" s="18">
        <f>VLOOKUP($B19,'[1]Project Management'!$B$12:$S70,8,FALSE)</f>
        <v>2284</v>
      </c>
      <c r="F19" s="11" t="str">
        <f>VLOOKUP($B19,'[1]Project Management'!$B$12:$S70,9,FALSE)</f>
        <v>Victorian</v>
      </c>
      <c r="G19" s="11">
        <f>VLOOKUP($B19,'[1]Project Management'!$B$12:$S70,10,FALSE)</f>
        <v>3</v>
      </c>
      <c r="H19" s="11">
        <f>VLOOKUP($B19,'[1]Project Management'!$B$12:$S70,11,FALSE)</f>
        <v>1899</v>
      </c>
      <c r="I19" s="11" t="str">
        <f>VLOOKUP($B19,'[1]Project Management'!$B$12:$S70,13,FALSE)</f>
        <v>Complete</v>
      </c>
      <c r="J19" s="13">
        <f>VLOOKUP($B19,'[1]Project Statistics'!$B$8:$AA$27,9,FALSE)</f>
        <v>0</v>
      </c>
      <c r="K19" s="13">
        <f>VLOOKUP($B19,'[1]Project Statistics'!$B$8:$AA$27,10,FALSE)</f>
        <v>0</v>
      </c>
      <c r="L19" s="13">
        <f>VLOOKUP($B19,'[1]Project Statistics'!$B$8:$AA$27,11,FALSE)</f>
        <v>0</v>
      </c>
      <c r="M19" s="13">
        <f>VLOOKUP($B19,'[1]Project Statistics'!$B$8:$AA$27,12,FALSE)</f>
        <v>0</v>
      </c>
      <c r="N19" s="13">
        <f>VLOOKUP($B19,'[1]Project Statistics'!$B$8:$AA$27,13,FALSE)</f>
        <v>3078</v>
      </c>
      <c r="O19" s="13">
        <f>VLOOKUP($B19,'[1]Project Statistics'!$B$8:$AA$27,14,FALSE)</f>
        <v>3174</v>
      </c>
      <c r="P19" s="13">
        <f>VLOOKUP($B19,'[1]Project Statistics'!$B$8:$AA$27,15,FALSE)</f>
        <v>5794</v>
      </c>
      <c r="Q19" s="13">
        <f>VLOOKUP($B19,'[1]Project Statistics'!$B$8:$AA$27,16,FALSE)</f>
        <v>5924</v>
      </c>
      <c r="R19" s="13">
        <f>VLOOKUP($B19,'[1]Project Statistics'!$B$8:$AA$27,17,FALSE)</f>
        <v>26187</v>
      </c>
      <c r="S19" s="13">
        <f>VLOOKUP($B19,'[1]Project Statistics'!$B$8:$AA$27,18,FALSE)</f>
        <v>26187</v>
      </c>
      <c r="T19" s="13">
        <f>VLOOKUP($B19,'[1]Project Statistics'!$B$8:$AA$27,19,FALSE)</f>
        <v>1640</v>
      </c>
      <c r="U19" s="13">
        <f>VLOOKUP($B19,'[1]Project Statistics'!$B$8:$AA$27,20,FALSE)</f>
        <v>655</v>
      </c>
      <c r="V19" s="23">
        <f>T19*60*(1/R19)</f>
        <v>3.7575896437163481</v>
      </c>
      <c r="W19" s="21">
        <f t="shared" si="4"/>
        <v>1.5007446442891512</v>
      </c>
      <c r="X19" s="22">
        <f t="shared" si="0"/>
        <v>0.28305143251639625</v>
      </c>
      <c r="Y19" s="21">
        <f t="shared" si="1"/>
        <v>0.11056718433490885</v>
      </c>
      <c r="Z19" s="22">
        <f t="shared" si="2"/>
        <v>0.53281351526965559</v>
      </c>
      <c r="AA19" s="21">
        <f t="shared" si="3"/>
        <v>0.20636420919974796</v>
      </c>
      <c r="AB19" s="22">
        <v>88.51</v>
      </c>
      <c r="AC19" s="22">
        <v>118.37</v>
      </c>
      <c r="AD19" s="45"/>
      <c r="AE19" s="26"/>
      <c r="AF19" s="32"/>
      <c r="AG19" s="32">
        <v>28.04</v>
      </c>
      <c r="AH19" s="32">
        <v>43.43</v>
      </c>
      <c r="AI19" s="32"/>
      <c r="AJ19" s="32">
        <v>2.27</v>
      </c>
      <c r="AK19" s="32">
        <v>4.37</v>
      </c>
      <c r="AL19" s="80"/>
      <c r="AM19" s="79">
        <v>31.5</v>
      </c>
      <c r="AN19" s="79">
        <v>47.05</v>
      </c>
      <c r="AO19" s="79">
        <v>35.65</v>
      </c>
      <c r="AP19" s="79">
        <v>51.39</v>
      </c>
      <c r="AQ19">
        <f>VLOOKUP($B19,'[1]Project Management'!$B$12:$V71,21,FALSE)</f>
        <v>11</v>
      </c>
      <c r="AS19" s="87">
        <v>37.44</v>
      </c>
      <c r="AT19" s="87">
        <v>80.930000000000007</v>
      </c>
      <c r="AU19" s="87"/>
      <c r="AV19" s="87"/>
      <c r="AW19" s="91">
        <v>6.14</v>
      </c>
      <c r="AX19" s="91">
        <v>21.9</v>
      </c>
      <c r="AZ19" s="87">
        <v>20.5</v>
      </c>
      <c r="BA19" s="87">
        <v>22.93</v>
      </c>
      <c r="BB19" s="87"/>
      <c r="BC19" s="91">
        <v>6.14</v>
      </c>
      <c r="BD19" s="91"/>
      <c r="BE19" s="91">
        <v>21.9</v>
      </c>
      <c r="BF19" s="91"/>
      <c r="BG19" s="91">
        <v>20.5</v>
      </c>
      <c r="BH19" s="91"/>
      <c r="BI19" s="91">
        <v>22.93</v>
      </c>
      <c r="BJ19" s="92"/>
    </row>
    <row r="20" spans="1:62">
      <c r="A20" s="10" t="s">
        <v>24</v>
      </c>
      <c r="B20" s="11" t="s">
        <v>37</v>
      </c>
      <c r="C20" s="12">
        <f>VLOOKUP($B20,'[1]Project Management'!$B$12:$S72,3,FALSE)</f>
        <v>1</v>
      </c>
      <c r="D20" s="12" t="str">
        <f>VLOOKUP($B20,'[1]Project Management'!$B$12:$S72,7,FALSE)</f>
        <v>Westford</v>
      </c>
      <c r="E20" s="18">
        <f>VLOOKUP($B20,'[1]Project Management'!$B$12:$S71,8,FALSE)</f>
        <v>2906</v>
      </c>
      <c r="F20" s="11" t="str">
        <f>VLOOKUP($B20,'[1]Project Management'!$B$12:$S71,9,FALSE)</f>
        <v>Colonial</v>
      </c>
      <c r="G20" s="11">
        <f>VLOOKUP($B20,'[1]Project Management'!$B$12:$S71,10,FALSE)</f>
        <v>2</v>
      </c>
      <c r="H20" s="11">
        <f>VLOOKUP($B20,'[1]Project Management'!$B$12:$S71,11,FALSE)</f>
        <v>1993</v>
      </c>
      <c r="I20" s="11" t="str">
        <f>VLOOKUP($B20,'[1]Project Management'!$B$12:$S71,13,FALSE)</f>
        <v>Complete</v>
      </c>
      <c r="J20" s="13">
        <f>VLOOKUP($B20,'[1]Project Statistics'!$B$8:$AA$27,9,FALSE)</f>
        <v>0</v>
      </c>
      <c r="K20" s="13" t="str">
        <f>VLOOKUP($B20,'[1]Project Statistics'!$B$8:$AA$27,10,FALSE)</f>
        <v>application</v>
      </c>
      <c r="L20" s="13">
        <f>VLOOKUP($B20,'[1]Project Statistics'!$B$8:$AA$27,11,FALSE)</f>
        <v>0</v>
      </c>
      <c r="M20" s="13">
        <f>VLOOKUP($B20,'[1]Project Statistics'!$B$8:$AA$27,12,FALSE)</f>
        <v>0</v>
      </c>
      <c r="N20" s="13">
        <f>VLOOKUP($B20,'[1]Project Statistics'!$B$8:$AA$27,13,FALSE)</f>
        <v>2906</v>
      </c>
      <c r="O20" s="13">
        <f>VLOOKUP($B20,'[1]Project Statistics'!$B$8:$AA$27,14,FALSE)</f>
        <v>3955</v>
      </c>
      <c r="P20" s="13">
        <f>VLOOKUP($B20,'[1]Project Statistics'!$B$8:$AA$27,15,FALSE)</f>
        <v>7325</v>
      </c>
      <c r="Q20" s="13">
        <f>VLOOKUP($B20,'[1]Project Statistics'!$B$8:$AA$27,16,FALSE)</f>
        <v>9538</v>
      </c>
      <c r="R20" s="13">
        <f>VLOOKUP($B20,'[1]Project Statistics'!$B$8:$AA$27,17,FALSE)</f>
        <v>32226</v>
      </c>
      <c r="S20" s="13">
        <f>VLOOKUP($B20,'[1]Project Statistics'!$B$8:$AA$27,18,FALSE)</f>
        <v>44475</v>
      </c>
      <c r="T20" s="13">
        <f>VLOOKUP($B20,'[1]Project Statistics'!$B$8:$AA$27,19,FALSE)</f>
        <v>2592</v>
      </c>
      <c r="U20" s="13">
        <f>VLOOKUP($B20,'[1]Project Statistics'!$B$8:$AA$27,20,FALSE)</f>
        <v>930</v>
      </c>
      <c r="V20" s="23">
        <f>T20*60*(1/R20)</f>
        <v>4.8259169614596908</v>
      </c>
      <c r="W20" s="21">
        <f t="shared" si="4"/>
        <v>1.2546374367622262</v>
      </c>
      <c r="X20" s="22">
        <f t="shared" si="0"/>
        <v>0.35385665529010241</v>
      </c>
      <c r="Y20" s="27">
        <f t="shared" si="1"/>
        <v>9.7504717970224364E-2</v>
      </c>
      <c r="Z20" s="22">
        <f t="shared" si="2"/>
        <v>0.89194769442532695</v>
      </c>
      <c r="AA20" s="21">
        <f t="shared" si="3"/>
        <v>0.23514538558786346</v>
      </c>
      <c r="AB20" s="22">
        <v>209.42</v>
      </c>
      <c r="AC20" s="22">
        <v>295.67</v>
      </c>
      <c r="AD20" s="45"/>
      <c r="AE20" s="16"/>
      <c r="AF20" s="31"/>
      <c r="AG20" s="31">
        <v>56.66</v>
      </c>
      <c r="AH20" s="31">
        <v>103.25</v>
      </c>
      <c r="AI20" s="31"/>
      <c r="AJ20" s="31">
        <v>4.2300000000000004</v>
      </c>
      <c r="AK20" s="31">
        <v>9.76</v>
      </c>
      <c r="AL20" s="80"/>
      <c r="AM20" s="79">
        <v>59.99</v>
      </c>
      <c r="AN20" s="79">
        <v>106.74</v>
      </c>
      <c r="AO20" s="79">
        <v>68.06</v>
      </c>
      <c r="AP20" s="79">
        <v>115.18</v>
      </c>
      <c r="AQ20">
        <f>VLOOKUP($B20,'[1]Project Management'!$B$12:$V74,21,FALSE)</f>
        <v>12</v>
      </c>
      <c r="AS20" s="88">
        <v>111.29</v>
      </c>
      <c r="AT20" s="87">
        <v>184.38</v>
      </c>
      <c r="AU20" s="87"/>
      <c r="AV20" s="87"/>
      <c r="AW20" s="91">
        <v>19.16</v>
      </c>
      <c r="AX20" s="91">
        <v>37.5</v>
      </c>
      <c r="AZ20" s="87">
        <v>63.98</v>
      </c>
      <c r="BA20" s="87">
        <v>39.26</v>
      </c>
      <c r="BB20" s="87"/>
      <c r="BC20" s="91">
        <v>19.16</v>
      </c>
      <c r="BD20" s="91"/>
      <c r="BE20" s="91">
        <v>37.5</v>
      </c>
      <c r="BF20" s="91"/>
      <c r="BG20" s="91">
        <v>63.98</v>
      </c>
      <c r="BH20" s="91"/>
      <c r="BI20" s="91">
        <v>39.26</v>
      </c>
      <c r="BJ20" s="92"/>
    </row>
    <row r="21" spans="1:62" ht="30">
      <c r="A21" s="10" t="s">
        <v>24</v>
      </c>
      <c r="B21" s="11" t="s">
        <v>38</v>
      </c>
      <c r="C21" s="12">
        <f>VLOOKUP($B21,'[1]Project Management'!$B$12:$S73,3,FALSE)</f>
        <v>1</v>
      </c>
      <c r="D21" s="12" t="str">
        <f>VLOOKUP($B21,'[1]Project Management'!$B$12:$S73,7,FALSE)</f>
        <v>Gloucester</v>
      </c>
      <c r="E21" s="12">
        <f>VLOOKUP($B21,'[1]Project Management'!$B$12:$S83,8,FALSE)</f>
        <v>2171</v>
      </c>
      <c r="F21" s="11" t="str">
        <f>VLOOKUP($B21,'[1]Project Management'!$B$12:$S83,9,FALSE)</f>
        <v>Single family</v>
      </c>
      <c r="G21" s="11">
        <f>VLOOKUP($B21,'[1]Project Management'!$B$12:$S83,10,FALSE)</f>
        <v>2</v>
      </c>
      <c r="H21" s="11">
        <f>VLOOKUP($B21,'[1]Project Management'!$B$12:$S83,11,FALSE)</f>
        <v>1920</v>
      </c>
      <c r="I21" s="11" t="str">
        <f>VLOOKUP($B21,'[1]Project Management'!$B$12:$S83,13,FALSE)</f>
        <v>Complete</v>
      </c>
      <c r="J21" s="13">
        <f>VLOOKUP($B21,'[1]Project Statistics'!$B$8:$AA$27,9,FALSE)</f>
        <v>0</v>
      </c>
      <c r="K21" s="13" t="str">
        <f>VLOOKUP($B21,'[1]Project Statistics'!$B$8:$AA$27,10,FALSE)</f>
        <v>application</v>
      </c>
      <c r="L21" s="13">
        <f>VLOOKUP($B21,'[1]Project Statistics'!$B$8:$AA$27,11,FALSE)</f>
        <v>0</v>
      </c>
      <c r="M21" s="13">
        <f>VLOOKUP($B21,'[1]Project Statistics'!$B$8:$AA$27,12,FALSE)</f>
        <v>0</v>
      </c>
      <c r="N21" s="13">
        <f>VLOOKUP($B21,'[1]Project Statistics'!$B$8:$AA$27,13,FALSE)</f>
        <v>2171</v>
      </c>
      <c r="O21" s="13">
        <f>VLOOKUP($B21,'[1]Project Statistics'!$B$8:$AA$27,14,FALSE)</f>
        <v>2424</v>
      </c>
      <c r="P21" s="13">
        <f>VLOOKUP($B21,'[1]Project Statistics'!$B$8:$AA$27,15,FALSE)</f>
        <v>5325</v>
      </c>
      <c r="Q21" s="13">
        <f>VLOOKUP($B21,'[1]Project Statistics'!$B$8:$AA$27,16,FALSE)</f>
        <v>6493</v>
      </c>
      <c r="R21" s="13">
        <f>VLOOKUP($B21,'[1]Project Statistics'!$B$8:$AA$27,17,FALSE)</f>
        <v>0</v>
      </c>
      <c r="S21" s="13">
        <f>VLOOKUP($B21,'[1]Project Statistics'!$B$8:$AA$27,18,FALSE)</f>
        <v>23285</v>
      </c>
      <c r="T21" s="13">
        <f>VLOOKUP($B21,'[1]Project Statistics'!$B$8:$AA$27,19,FALSE)</f>
        <v>2258</v>
      </c>
      <c r="U21" s="13">
        <f>VLOOKUP($B21,'[1]Project Statistics'!$B$8:$AA$27,20,FALSE)</f>
        <v>235</v>
      </c>
      <c r="V21" s="28" t="e">
        <f>T21*60*(1/R21)</f>
        <v>#DIV/0!</v>
      </c>
      <c r="W21" s="29">
        <f t="shared" si="4"/>
        <v>0.60554004724071286</v>
      </c>
      <c r="X21" s="30">
        <f t="shared" si="0"/>
        <v>0.42403755868544601</v>
      </c>
      <c r="Y21" s="36">
        <f t="shared" si="1"/>
        <v>3.6192823040197136E-2</v>
      </c>
      <c r="Z21" s="30">
        <f t="shared" si="2"/>
        <v>1.0400736987563335</v>
      </c>
      <c r="AA21" s="29">
        <f t="shared" si="3"/>
        <v>9.6947194719471941E-2</v>
      </c>
      <c r="AB21" s="30">
        <v>148.29</v>
      </c>
      <c r="AC21" s="30">
        <v>200.89</v>
      </c>
      <c r="AD21" s="43"/>
      <c r="AE21" s="16"/>
      <c r="AF21" s="31"/>
      <c r="AG21" s="31">
        <v>19.55</v>
      </c>
      <c r="AH21" s="31">
        <v>65.28</v>
      </c>
      <c r="AI21" s="31"/>
      <c r="AJ21" s="31">
        <v>2.4700000000000002</v>
      </c>
      <c r="AK21" s="31">
        <v>8.24</v>
      </c>
      <c r="AL21" s="80"/>
      <c r="AM21" s="79">
        <v>20.72</v>
      </c>
      <c r="AN21" s="79">
        <v>69.19</v>
      </c>
      <c r="AO21" s="79">
        <v>22.68</v>
      </c>
      <c r="AP21" s="79">
        <v>75.739999999999995</v>
      </c>
      <c r="AQ21">
        <f>VLOOKUP($B21,'[1]Project Management'!$B$12:$V84,21,FALSE)</f>
        <v>14</v>
      </c>
      <c r="AS21" s="87">
        <v>73.28</v>
      </c>
      <c r="AT21" s="87"/>
      <c r="AU21" s="87">
        <v>127.61</v>
      </c>
      <c r="AV21" s="87"/>
      <c r="AW21" s="95">
        <v>19.55</v>
      </c>
      <c r="AX21" s="95"/>
      <c r="AZ21" s="87">
        <v>65.28</v>
      </c>
      <c r="BA21" s="87"/>
      <c r="BB21" s="87"/>
      <c r="BC21" s="95">
        <v>19.55</v>
      </c>
      <c r="BD21" s="95"/>
      <c r="BE21" s="95"/>
      <c r="BF21" s="95"/>
      <c r="BG21" s="95">
        <v>65.28</v>
      </c>
      <c r="BH21" s="95"/>
      <c r="BI21" s="95"/>
      <c r="BJ21" s="96"/>
    </row>
    <row r="22" spans="1:62">
      <c r="W22" s="37"/>
    </row>
    <row r="24" spans="1:62">
      <c r="W24" s="37"/>
    </row>
    <row r="26" spans="1:62">
      <c r="W26" s="37"/>
    </row>
  </sheetData>
  <sortState ref="A9:BI21">
    <sortCondition ref="AQ9:AQ21"/>
  </sortState>
  <dataValidations disablePrompts="1" count="2">
    <dataValidation type="list" allowBlank="1" showInputMessage="1" showErrorMessage="1" sqref="WWM9:WWM21 WMQ9:WMQ21 KA9:KA21 TW9:TW21 ADS9:ADS21 ANO9:ANO21 AXK9:AXK21 BHG9:BHG21 BRC9:BRC21 CAY9:CAY21 CKU9:CKU21 CUQ9:CUQ21 DEM9:DEM21 DOI9:DOI21 DYE9:DYE21 EIA9:EIA21 ERW9:ERW21 FBS9:FBS21 FLO9:FLO21 FVK9:FVK21 GFG9:GFG21 GPC9:GPC21 GYY9:GYY21 HIU9:HIU21 HSQ9:HSQ21 ICM9:ICM21 IMI9:IMI21 IWE9:IWE21 JGA9:JGA21 JPW9:JPW21 JZS9:JZS21 KJO9:KJO21 KTK9:KTK21 LDG9:LDG21 LNC9:LNC21 LWY9:LWY21 MGU9:MGU21 MQQ9:MQQ21 NAM9:NAM21 NKI9:NKI21 NUE9:NUE21 OEA9:OEA21 ONW9:ONW21 OXS9:OXS21 PHO9:PHO21 PRK9:PRK21 QBG9:QBG21 QLC9:QLC21 QUY9:QUY21 REU9:REU21 ROQ9:ROQ21 RYM9:RYM21 SII9:SII21 SSE9:SSE21 TCA9:TCA21 TLW9:TLW21 TVS9:TVS21 UFO9:UFO21 UPK9:UPK21 UZG9:UZG21 VJC9:VJC21 VSY9:VSY21 WCU9:WCU21">
      <formula1>'[1]Project Statistics'!$K$74:$K$79</formula1>
    </dataValidation>
    <dataValidation type="list" allowBlank="1" showInputMessage="1" showErrorMessage="1" sqref="WWN9:WWO21 WMR9:WMS21 KB9:KC21 TX9:TY21 ADT9:ADU21 ANP9:ANQ21 AXL9:AXM21 BHH9:BHI21 BRD9:BRE21 CAZ9:CBA21 CKV9:CKW21 CUR9:CUS21 DEN9:DEO21 DOJ9:DOK21 DYF9:DYG21 EIB9:EIC21 ERX9:ERY21 FBT9:FBU21 FLP9:FLQ21 FVL9:FVM21 GFH9:GFI21 GPD9:GPE21 GYZ9:GZA21 HIV9:HIW21 HSR9:HSS21 ICN9:ICO21 IMJ9:IMK21 IWF9:IWG21 JGB9:JGC21 JPX9:JPY21 JZT9:JZU21 KJP9:KJQ21 KTL9:KTM21 LDH9:LDI21 LND9:LNE21 LWZ9:LXA21 MGV9:MGW21 MQR9:MQS21 NAN9:NAO21 NKJ9:NKK21 NUF9:NUG21 OEB9:OEC21 ONX9:ONY21 OXT9:OXU21 PHP9:PHQ21 PRL9:PRM21 QBH9:QBI21 QLD9:QLE21 QUZ9:QVA21 REV9:REW21 ROR9:ROS21 RYN9:RYO21 SIJ9:SIK21 SSF9:SSG21 TCB9:TCC21 TLX9:TLY21 TVT9:TVU21 UFP9:UFQ21 UPL9:UPM21 UZH9:UZI21 VJD9:VJE21 VSZ9:VTA21 WCV9:WCW21">
      <formula1>'[1]Project Statistics'!$M$74:$M$75</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7:AQ26"/>
  <sheetViews>
    <sheetView topLeftCell="B7" zoomScale="130" zoomScaleNormal="130" workbookViewId="0">
      <pane xSplit="1" topLeftCell="S1" activePane="topRight" state="frozen"/>
      <selection activeCell="B9" sqref="B9:X21"/>
      <selection pane="topRight" activeCell="L41" sqref="L41"/>
    </sheetView>
  </sheetViews>
  <sheetFormatPr defaultRowHeight="15"/>
  <cols>
    <col min="2" max="2" width="11.7109375" customWidth="1"/>
    <col min="3" max="3" width="8.7109375" customWidth="1"/>
    <col min="4" max="4" width="12.7109375" customWidth="1"/>
    <col min="6" max="6" width="11.5703125" customWidth="1"/>
    <col min="13" max="16" width="11.5703125" bestFit="1" customWidth="1"/>
    <col min="17" max="18" width="11.5703125" customWidth="1"/>
    <col min="26" max="26" width="11.5703125" bestFit="1" customWidth="1"/>
    <col min="27" max="33" width="11.5703125" customWidth="1"/>
  </cols>
  <sheetData>
    <row r="7" spans="1:43" ht="165.75" thickBot="1">
      <c r="B7" s="1" t="s">
        <v>0</v>
      </c>
      <c r="C7" s="11" t="str">
        <f>VLOOKUP($B7,'BaseLine Data'!$B7:$AQ21,2,FALSE)</f>
        <v>Number of Housing Units</v>
      </c>
      <c r="D7" s="11" t="str">
        <f>VLOOKUP($B7,'BaseLine Data'!$B7:$AQ21,3,FALSE)</f>
        <v>Location</v>
      </c>
      <c r="E7" s="11" t="str">
        <f>VLOOKUP($B7,'BaseLine Data'!$B7:$AQ21,4,FALSE)</f>
        <v>Pre-DER Cond. Floor Area
(sq.ft.)</v>
      </c>
      <c r="F7" s="11" t="str">
        <f>VLOOKUP($B7,'BaseLine Data'!$B7:$AQ21,2,FALSE)</f>
        <v>Number of Housing Units</v>
      </c>
      <c r="G7" s="11" t="str">
        <f>VLOOKUP($B7,'BaseLine Data'!$B7:$AQ21,6,FALSE)</f>
        <v>Stories</v>
      </c>
      <c r="H7" s="11" t="str">
        <f>VLOOKUP($B7,'BaseLine Data'!$B7:$AQ21,7,FALSE)</f>
        <v>Approx. Year Built</v>
      </c>
      <c r="I7" s="11" t="str">
        <f>VLOOKUP($B7,'BaseLine Data'!$B7:$AQ21,13,FALSE)</f>
        <v>Pre-DER Cond. Floor Area
(sq.ft.)</v>
      </c>
      <c r="J7" s="11" t="str">
        <f>VLOOKUP($B7,'BaseLine Data'!$B7:$AQ21,14,FALSE)</f>
        <v>Post-DER Con. Floor Area        (sq.ft.)</v>
      </c>
      <c r="K7" s="11" t="str">
        <f>VLOOKUP($B7,'BaseLine Data'!$B7:$AQ21,19,FALSE)</f>
        <v>Pre-DER   CFM 50</v>
      </c>
      <c r="L7" s="11" t="str">
        <f>VLOOKUP($B7,'BaseLine Data'!$B7:$AQ21,20,FALSE)</f>
        <v>Post-DER CFM 50</v>
      </c>
      <c r="M7" s="11" t="str">
        <f>VLOOKUP($B7,'BaseLine Data'!$B7:$AQ21,21,FALSE)</f>
        <v xml:space="preserve">Pre-DER   ACH 50 </v>
      </c>
      <c r="N7" s="11" t="str">
        <f>VLOOKUP($B7,'BaseLine Data'!$B7:$AQ21,22,FALSE)</f>
        <v xml:space="preserve">Post-DER ACH 50 </v>
      </c>
      <c r="O7" s="11" t="str">
        <f>VLOOKUP($B7,'BaseLine Data'!$B7:$AQ21,25,FALSE)</f>
        <v>Pre-DER CFM/sf Conditioned floor area</v>
      </c>
      <c r="P7" s="11" t="str">
        <f>VLOOKUP($B7,'BaseLine Data'!$B7:$AQ21,26,FALSE)</f>
        <v>Post-DER CFM/sf Conditioned floor area</v>
      </c>
      <c r="Q7" s="11" t="str">
        <f>VLOOKUP($B7,'BaseLine Data'!$B7:$AQ21,35,FALSE)</f>
        <v>Min monthly site MMBtu</v>
      </c>
      <c r="R7" s="11" t="str">
        <f>VLOOKUP($B7,'BaseLine Data'!$B7:$AQ21,36,FALSE)</f>
        <v>Min monthly source MMBtu</v>
      </c>
      <c r="S7" s="11" t="str">
        <f>VLOOKUP($B7,'BaseLine Data'!$B7:$AQ21,29,FALSE)</f>
        <v>12 months site MMBtu</v>
      </c>
      <c r="T7" s="11" t="str">
        <f>VLOOKUP($B7,'BaseLine Data'!$B7:$AQ21,30,FALSE)</f>
        <v>12 months source MMBtu</v>
      </c>
      <c r="U7" s="11" t="s">
        <v>56</v>
      </c>
      <c r="V7" s="11" t="s">
        <v>57</v>
      </c>
      <c r="W7" s="58" t="s">
        <v>61</v>
      </c>
      <c r="X7" s="58" t="s">
        <v>62</v>
      </c>
      <c r="Y7" s="11" t="str">
        <f>VLOOKUP($B7,'BaseLine Data'!$B7:$AQ21,32,FALSE)</f>
        <v>6 months site MMBtu</v>
      </c>
      <c r="Z7" s="11" t="str">
        <f>VLOOKUP($B7,'BaseLine Data'!$B7:$AQ21,33,FALSE)</f>
        <v>6 months source MMBtu</v>
      </c>
      <c r="AA7" s="11" t="s">
        <v>55</v>
      </c>
      <c r="AB7" s="11" t="s">
        <v>58</v>
      </c>
      <c r="AC7" s="58" t="s">
        <v>232</v>
      </c>
      <c r="AD7" s="58" t="s">
        <v>233</v>
      </c>
      <c r="AE7" s="58" t="s">
        <v>60</v>
      </c>
      <c r="AF7" s="58" t="s">
        <v>59</v>
      </c>
      <c r="AG7" s="58" t="s">
        <v>195</v>
      </c>
      <c r="AH7" s="56" t="s">
        <v>102</v>
      </c>
      <c r="AI7" s="56" t="s">
        <v>143</v>
      </c>
      <c r="AJ7" s="58" t="s">
        <v>148</v>
      </c>
      <c r="AK7" s="58" t="s">
        <v>149</v>
      </c>
      <c r="AL7" s="58" t="s">
        <v>151</v>
      </c>
      <c r="AM7" s="58" t="s">
        <v>150</v>
      </c>
      <c r="AN7" s="58" t="s">
        <v>147</v>
      </c>
      <c r="AO7" s="58" t="s">
        <v>152</v>
      </c>
      <c r="AP7" s="58" t="s">
        <v>153</v>
      </c>
      <c r="AQ7" s="58" t="s">
        <v>154</v>
      </c>
    </row>
    <row r="8" spans="1:43" ht="71.25">
      <c r="A8" s="9"/>
      <c r="B8" s="49" t="s">
        <v>23</v>
      </c>
      <c r="C8" s="50"/>
      <c r="D8" s="50"/>
      <c r="E8" s="50"/>
      <c r="F8" s="50"/>
      <c r="G8" s="50"/>
      <c r="H8" s="50"/>
      <c r="I8" s="51"/>
      <c r="J8" s="52"/>
      <c r="K8" s="53"/>
      <c r="L8" s="53"/>
      <c r="M8" s="54"/>
      <c r="N8" s="41"/>
      <c r="O8" s="53"/>
      <c r="P8" s="41"/>
      <c r="Q8" s="57"/>
      <c r="R8" s="57"/>
    </row>
    <row r="9" spans="1:43">
      <c r="A9" s="10" t="s">
        <v>24</v>
      </c>
      <c r="B9" s="11" t="s">
        <v>25</v>
      </c>
      <c r="C9" s="11">
        <f>VLOOKUP($B9,'BaseLine Data'!$B9:$AQ21,2,FALSE)</f>
        <v>1</v>
      </c>
      <c r="D9" s="11" t="str">
        <f>VLOOKUP($B9,'BaseLine Data'!$B9:$AQ21,3,FALSE)</f>
        <v>Belchertown</v>
      </c>
      <c r="E9" s="11">
        <f>VLOOKUP($B9,'BaseLine Data'!$B9:$AQ21,4,FALSE)</f>
        <v>1352</v>
      </c>
      <c r="F9" s="11">
        <f>VLOOKUP($B9,'BaseLine Data'!$B9:$AQ21,2,FALSE)</f>
        <v>1</v>
      </c>
      <c r="G9" s="11">
        <f>VLOOKUP($B9,'BaseLine Data'!$B9:$AQ21,6,FALSE)</f>
        <v>1.5</v>
      </c>
      <c r="H9" s="11">
        <f>VLOOKUP($B9,'BaseLine Data'!$B9:$AQ21,7,FALSE)</f>
        <v>1760</v>
      </c>
      <c r="I9" s="11">
        <f>VLOOKUP($B9,'BaseLine Data'!$B9:$AQ21,13,FALSE)</f>
        <v>1435</v>
      </c>
      <c r="J9" s="11">
        <f>VLOOKUP($B9,'BaseLine Data'!$B9:$AQ21,14,FALSE)</f>
        <v>1907</v>
      </c>
      <c r="K9" s="11">
        <f>VLOOKUP($B9,'BaseLine Data'!$B9:$AQ21,19,FALSE)</f>
        <v>9079</v>
      </c>
      <c r="L9" s="11">
        <f>VLOOKUP($B9,'BaseLine Data'!$B9:$AQ21,20,FALSE)</f>
        <v>468</v>
      </c>
      <c r="M9" s="47">
        <f>VLOOKUP($B9,'BaseLine Data'!$B9:$AQ21,21,FALSE)</f>
        <v>57.656646909398809</v>
      </c>
      <c r="N9" s="84">
        <f>VLOOKUP($B9,'BaseLine Data'!$B9:$AQ21,22,FALSE)</f>
        <v>1.8755009350788139</v>
      </c>
      <c r="O9" s="47">
        <f>VLOOKUP($B9,'BaseLine Data'!$B9:$AQ21,25,FALSE)</f>
        <v>6.3268292682926832</v>
      </c>
      <c r="P9" s="47">
        <f>VLOOKUP($B9,'BaseLine Data'!$B9:$AQ21,26,FALSE)</f>
        <v>0.2454116413214473</v>
      </c>
      <c r="Q9" s="47">
        <f>VLOOKUP($B9,'BaseLine Data'!$B9:$AQ21,35,FALSE)</f>
        <v>1.04</v>
      </c>
      <c r="R9" s="47">
        <f>VLOOKUP($B9,'BaseLine Data'!$B9:$AQ21,36,FALSE)</f>
        <v>2</v>
      </c>
      <c r="S9" s="40">
        <f>VLOOKUP($B9,'BaseLine Data'!$B9:$AQ21,29,FALSE)</f>
        <v>37.130000000000003</v>
      </c>
      <c r="T9" s="40">
        <f>VLOOKUP($B9,'BaseLine Data'!$B9:$AQ21,30,FALSE)</f>
        <v>52.4</v>
      </c>
      <c r="U9" s="48">
        <f t="shared" ref="U9:U21" si="0">S9 - 12*MIN(Q9,S9)</f>
        <v>24.650000000000002</v>
      </c>
      <c r="V9" s="48">
        <f t="shared" ref="V9:V21" si="1">T9 - 12*MIN(R9,T9)</f>
        <v>28.4</v>
      </c>
      <c r="W9" s="85">
        <f t="shared" ref="W9:W21" si="2">1000*U9/J9</f>
        <v>12.926061877294181</v>
      </c>
      <c r="X9" s="59">
        <f t="shared" ref="X9:X21" si="3">1000*V9/J9</f>
        <v>14.892501310959622</v>
      </c>
      <c r="Y9" s="40">
        <f>VLOOKUP($B9,'BaseLine Data'!$B9:$AQ21,32,FALSE)</f>
        <v>15.1</v>
      </c>
      <c r="Z9" s="48">
        <f>VLOOKUP($B9,'BaseLine Data'!$B9:$AQ21,33,FALSE)</f>
        <v>22.29</v>
      </c>
      <c r="AA9" s="59">
        <f t="shared" ref="AA9:AA21" si="4">Y9-6*Q9</f>
        <v>8.86</v>
      </c>
      <c r="AB9" s="59">
        <f t="shared" ref="AB9:AB21" si="5">Z9-6*R9</f>
        <v>10.29</v>
      </c>
      <c r="AC9" s="59">
        <f>AA9/F9</f>
        <v>8.86</v>
      </c>
      <c r="AD9" s="59">
        <f>AB9/F9</f>
        <v>10.29</v>
      </c>
      <c r="AE9" s="83">
        <f t="shared" ref="AE9:AE21" si="6">1000*AA9/J9</f>
        <v>4.6460409019402205</v>
      </c>
      <c r="AF9" s="59">
        <f t="shared" ref="AF9:AF21" si="7">1000*AB9/J9</f>
        <v>5.3959098059779755</v>
      </c>
      <c r="AG9" s="59">
        <f>IF(X9&lt;&gt;0,X9-AF9,0)</f>
        <v>9.4965915049816463</v>
      </c>
      <c r="AH9" s="10">
        <v>0</v>
      </c>
      <c r="AI9" s="11">
        <f>VLOOKUP($B9,'BaseLine Data'!$B$9:$AQ26,40,FALSE)</f>
        <v>0</v>
      </c>
      <c r="AJ9" s="37">
        <f>Y9-AA9</f>
        <v>6.24</v>
      </c>
      <c r="AK9" s="37">
        <f>Z9-AB9</f>
        <v>12</v>
      </c>
      <c r="AL9" s="86">
        <f>AB9/Z9</f>
        <v>0.46164199192462985</v>
      </c>
      <c r="AM9" s="37">
        <f>S9-U9</f>
        <v>12.48</v>
      </c>
      <c r="AN9" s="37">
        <f>T9-V9</f>
        <v>24</v>
      </c>
      <c r="AO9" s="86">
        <f>(V9/T9)</f>
        <v>0.5419847328244275</v>
      </c>
      <c r="AP9">
        <f>U9/F9</f>
        <v>24.650000000000002</v>
      </c>
      <c r="AQ9">
        <f>V9/F9</f>
        <v>28.4</v>
      </c>
    </row>
    <row r="10" spans="1:43" ht="30">
      <c r="A10" s="10" t="s">
        <v>24</v>
      </c>
      <c r="B10" s="17" t="s">
        <v>26</v>
      </c>
      <c r="C10" s="11">
        <f>VLOOKUP($B10,'BaseLine Data'!$B9:$AQ21,2,FALSE)</f>
        <v>2</v>
      </c>
      <c r="D10" s="11" t="str">
        <f>VLOOKUP($B10,'BaseLine Data'!$B9:$AQ21,3,FALSE)</f>
        <v>Belmont</v>
      </c>
      <c r="E10" s="11">
        <f>VLOOKUP($B10,'BaseLine Data'!$B9:$AQ21,4,FALSE)</f>
        <v>2728</v>
      </c>
      <c r="F10" s="11">
        <f>VLOOKUP($B10,'BaseLine Data'!$B9:$AQ21,2,FALSE)</f>
        <v>2</v>
      </c>
      <c r="G10" s="11">
        <f>VLOOKUP($B10,'BaseLine Data'!$B9:$AQ21,6,FALSE)</f>
        <v>3</v>
      </c>
      <c r="H10" s="11">
        <f>VLOOKUP($B10,'BaseLine Data'!$B9:$AQ21,7,FALSE)</f>
        <v>1925</v>
      </c>
      <c r="I10" s="11">
        <f>VLOOKUP($B10,'BaseLine Data'!$B9:$AQ21,13,FALSE)</f>
        <v>3417</v>
      </c>
      <c r="J10" s="11">
        <f>VLOOKUP($B10,'BaseLine Data'!$B9:$AQ21,14,FALSE)</f>
        <v>4768</v>
      </c>
      <c r="K10" s="11">
        <f>VLOOKUP($B10,'BaseLine Data'!$B9:$AQ21,19,FALSE)</f>
        <v>5700</v>
      </c>
      <c r="L10" s="11">
        <f>VLOOKUP($B10,'BaseLine Data'!$B9:$AQ21,20,FALSE)</f>
        <v>590</v>
      </c>
      <c r="M10" s="47">
        <f>VLOOKUP($B10,'BaseLine Data'!$B9:$AQ21,21,FALSE)</f>
        <v>9.2687950566426363</v>
      </c>
      <c r="N10" s="84">
        <f>VLOOKUP($B10,'BaseLine Data'!$B9:$AQ21,22,FALSE)</f>
        <v>0.74204502578292031</v>
      </c>
      <c r="O10" s="47">
        <f>VLOOKUP($B10,'BaseLine Data'!$B9:$AQ21,25,FALSE)</f>
        <v>1.6681299385425812</v>
      </c>
      <c r="P10" s="47">
        <f>VLOOKUP($B10,'BaseLine Data'!$B9:$AQ21,26,FALSE)</f>
        <v>0.12374161073825503</v>
      </c>
      <c r="Q10" s="47">
        <f>VLOOKUP($B10,'BaseLine Data'!$B9:$AQ21,35,FALSE)</f>
        <v>2.46</v>
      </c>
      <c r="R10" s="47">
        <f>VLOOKUP($B10,'BaseLine Data'!$B9:$AQ21,36,FALSE)</f>
        <v>8.11</v>
      </c>
      <c r="S10" s="40">
        <f>VLOOKUP($B10,'BaseLine Data'!$B9:$AQ21,29,FALSE)</f>
        <v>59.36</v>
      </c>
      <c r="T10" s="40">
        <f>VLOOKUP($B10,'BaseLine Data'!$B9:$AQ21,30,FALSE)</f>
        <v>151.47999999999999</v>
      </c>
      <c r="U10" s="48">
        <f t="shared" si="0"/>
        <v>29.84</v>
      </c>
      <c r="V10" s="48">
        <f t="shared" si="1"/>
        <v>54.16</v>
      </c>
      <c r="W10" s="85">
        <f t="shared" si="2"/>
        <v>6.2583892617449663</v>
      </c>
      <c r="X10" s="59">
        <f t="shared" si="3"/>
        <v>11.359060402684564</v>
      </c>
      <c r="Y10" s="40">
        <f>VLOOKUP($B10,'BaseLine Data'!$B9:$AQ21,32,FALSE)</f>
        <v>28.94</v>
      </c>
      <c r="Z10" s="48">
        <f>VLOOKUP($B10,'BaseLine Data'!$B9:$AQ21,33,FALSE)</f>
        <v>77.39</v>
      </c>
      <c r="AA10" s="59">
        <f t="shared" si="4"/>
        <v>14.180000000000001</v>
      </c>
      <c r="AB10" s="59">
        <f t="shared" si="5"/>
        <v>28.730000000000004</v>
      </c>
      <c r="AC10" s="59">
        <f t="shared" ref="AC10:AC21" si="8">AA10/F10</f>
        <v>7.0900000000000007</v>
      </c>
      <c r="AD10" s="59">
        <f t="shared" ref="AD10:AD21" si="9">AB10/F10</f>
        <v>14.365000000000002</v>
      </c>
      <c r="AE10" s="83">
        <f t="shared" si="6"/>
        <v>2.9739932885906044</v>
      </c>
      <c r="AF10" s="59">
        <f t="shared" si="7"/>
        <v>6.0255872483221484</v>
      </c>
      <c r="AG10" s="59">
        <f t="shared" ref="AG10:AG21" si="10">IF(X10&lt;&gt;0,X10-AF10,0)</f>
        <v>5.3334731543624159</v>
      </c>
      <c r="AH10">
        <v>0</v>
      </c>
      <c r="AI10" s="11">
        <f>VLOOKUP($B10,'BaseLine Data'!$B$9:$AQ30,40,FALSE)</f>
        <v>0</v>
      </c>
      <c r="AJ10" s="37">
        <f t="shared" ref="AJ10:AJ21" si="11">Y10-AA10</f>
        <v>14.76</v>
      </c>
      <c r="AK10" s="37">
        <f t="shared" ref="AK10:AK21" si="12">Z10-AB10</f>
        <v>48.66</v>
      </c>
      <c r="AL10" s="86">
        <f t="shared" ref="AL10:AL21" si="13">AB10/Z10</f>
        <v>0.37123659387517771</v>
      </c>
      <c r="AM10" s="37">
        <f t="shared" ref="AM10:AM21" si="14">S10-U10</f>
        <v>29.52</v>
      </c>
      <c r="AN10" s="37">
        <f t="shared" ref="AN10:AN21" si="15">T10-V10</f>
        <v>97.32</v>
      </c>
      <c r="AO10" s="86">
        <f t="shared" ref="AO10:AO17" si="16">(V10/T10)</f>
        <v>0.35753894903617639</v>
      </c>
      <c r="AP10">
        <f t="shared" ref="AP10:AP17" si="17">U10/F10</f>
        <v>14.92</v>
      </c>
      <c r="AQ10">
        <f t="shared" ref="AQ10:AQ17" si="18">V10/F10</f>
        <v>27.08</v>
      </c>
    </row>
    <row r="11" spans="1:43">
      <c r="A11" s="10" t="s">
        <v>24</v>
      </c>
      <c r="B11" s="11" t="s">
        <v>27</v>
      </c>
      <c r="C11" s="11">
        <f>VLOOKUP($B11,'BaseLine Data'!$B9:$AQ21,2,FALSE)</f>
        <v>1</v>
      </c>
      <c r="D11" s="11" t="str">
        <f>VLOOKUP($B11,'BaseLine Data'!$B9:$AQ21,3,FALSE)</f>
        <v>Millbury</v>
      </c>
      <c r="E11" s="11">
        <f>VLOOKUP($B11,'BaseLine Data'!$B9:$AQ21,4,FALSE)</f>
        <v>1100</v>
      </c>
      <c r="F11" s="11">
        <f>VLOOKUP($B11,'BaseLine Data'!$B9:$AQ21,2,FALSE)</f>
        <v>1</v>
      </c>
      <c r="G11" s="11">
        <f>VLOOKUP($B11,'BaseLine Data'!$B9:$AQ21,6,FALSE)</f>
        <v>1.5</v>
      </c>
      <c r="H11" s="11">
        <f>VLOOKUP($B11,'BaseLine Data'!$B9:$AQ21,7,FALSE)</f>
        <v>1953</v>
      </c>
      <c r="I11" s="11">
        <f>VLOOKUP($B11,'BaseLine Data'!$B9:$AQ21,13,FALSE)</f>
        <v>1868</v>
      </c>
      <c r="J11" s="11">
        <f>VLOOKUP($B11,'BaseLine Data'!$B9:$AQ21,14,FALSE)</f>
        <v>1868</v>
      </c>
      <c r="K11" s="11">
        <f>VLOOKUP($B11,'BaseLine Data'!$B9:$AQ21,19,FALSE)</f>
        <v>2860</v>
      </c>
      <c r="L11" s="11">
        <f>VLOOKUP($B11,'BaseLine Data'!$B9:$AQ21,20,FALSE)</f>
        <v>402</v>
      </c>
      <c r="M11" s="47">
        <f>VLOOKUP($B11,'BaseLine Data'!$B9:$AQ21,21,FALSE)</f>
        <v>10.4</v>
      </c>
      <c r="N11" s="84">
        <f>VLOOKUP($B11,'BaseLine Data'!$B9:$AQ21,22,FALSE)</f>
        <v>1.4188235294117648</v>
      </c>
      <c r="O11" s="47">
        <f>VLOOKUP($B11,'BaseLine Data'!$B9:$AQ21,25,FALSE)</f>
        <v>1.5310492505353319</v>
      </c>
      <c r="P11" s="47">
        <f>VLOOKUP($B11,'BaseLine Data'!$B9:$AQ21,26,FALSE)</f>
        <v>0.21520342612419699</v>
      </c>
      <c r="Q11" s="47">
        <f>VLOOKUP($B11,'BaseLine Data'!$B9:$AQ21,35,FALSE)</f>
        <v>2.34</v>
      </c>
      <c r="R11" s="47">
        <f>VLOOKUP($B11,'BaseLine Data'!$B9:$AQ21,36,FALSE)</f>
        <v>6.58</v>
      </c>
      <c r="S11" s="40">
        <f>VLOOKUP($B11,'BaseLine Data'!$B9:$AQ21,29,FALSE)</f>
        <v>45.04</v>
      </c>
      <c r="T11" s="40">
        <f>VLOOKUP($B11,'BaseLine Data'!$B9:$AQ21,30,FALSE)</f>
        <v>129.72999999999999</v>
      </c>
      <c r="U11" s="48">
        <f t="shared" si="0"/>
        <v>16.96</v>
      </c>
      <c r="V11" s="48">
        <f t="shared" si="1"/>
        <v>50.769999999999982</v>
      </c>
      <c r="W11" s="85">
        <f t="shared" si="2"/>
        <v>9.0792291220556738</v>
      </c>
      <c r="X11" s="59">
        <f t="shared" si="3"/>
        <v>27.178800856531041</v>
      </c>
      <c r="Y11" s="40">
        <f>VLOOKUP($B11,'BaseLine Data'!$B9:$AQ21,32,FALSE)</f>
        <v>21.26</v>
      </c>
      <c r="Z11" s="48">
        <f>VLOOKUP($B11,'BaseLine Data'!$B9:$AQ21,33,FALSE)</f>
        <v>62.9</v>
      </c>
      <c r="AA11" s="59">
        <f t="shared" si="4"/>
        <v>7.2200000000000024</v>
      </c>
      <c r="AB11" s="59">
        <f t="shared" si="5"/>
        <v>23.419999999999995</v>
      </c>
      <c r="AC11" s="59">
        <f t="shared" si="8"/>
        <v>7.2200000000000024</v>
      </c>
      <c r="AD11" s="59">
        <f t="shared" si="9"/>
        <v>23.419999999999995</v>
      </c>
      <c r="AE11" s="83">
        <f t="shared" si="6"/>
        <v>3.8650963597430423</v>
      </c>
      <c r="AF11" s="59">
        <f t="shared" si="7"/>
        <v>12.537473233404709</v>
      </c>
      <c r="AG11" s="59">
        <f t="shared" si="10"/>
        <v>14.641327623126331</v>
      </c>
      <c r="AH11">
        <v>0</v>
      </c>
      <c r="AI11" s="11">
        <f>VLOOKUP($B11,'BaseLine Data'!$B$9:$AQ35,40,FALSE)</f>
        <v>0</v>
      </c>
      <c r="AJ11" s="37">
        <f t="shared" si="11"/>
        <v>14.04</v>
      </c>
      <c r="AK11" s="37">
        <f t="shared" si="12"/>
        <v>39.480000000000004</v>
      </c>
      <c r="AL11" s="86">
        <f t="shared" si="13"/>
        <v>0.37233704292527814</v>
      </c>
      <c r="AM11" s="37">
        <f t="shared" si="14"/>
        <v>28.08</v>
      </c>
      <c r="AN11" s="37">
        <f t="shared" si="15"/>
        <v>78.960000000000008</v>
      </c>
      <c r="AO11" s="86">
        <f t="shared" si="16"/>
        <v>0.39135126801819153</v>
      </c>
      <c r="AP11">
        <f t="shared" si="17"/>
        <v>16.96</v>
      </c>
      <c r="AQ11">
        <f t="shared" si="18"/>
        <v>50.769999999999982</v>
      </c>
    </row>
    <row r="12" spans="1:43">
      <c r="A12" s="10" t="s">
        <v>24</v>
      </c>
      <c r="B12" s="11" t="s">
        <v>28</v>
      </c>
      <c r="C12" s="11">
        <f>VLOOKUP($B12,'BaseLine Data'!$B9:$AQ21,2,FALSE)</f>
        <v>1</v>
      </c>
      <c r="D12" s="11" t="str">
        <f>VLOOKUP($B12,'BaseLine Data'!$B9:$AQ21,3,FALSE)</f>
        <v>Milton</v>
      </c>
      <c r="E12" s="11">
        <f>VLOOKUP($B12,'BaseLine Data'!$B9:$AQ21,4,FALSE)</f>
        <v>1600</v>
      </c>
      <c r="F12" s="11">
        <f>VLOOKUP($B12,'BaseLine Data'!$B9:$AQ21,2,FALSE)</f>
        <v>1</v>
      </c>
      <c r="G12" s="11">
        <f>VLOOKUP($B12,'BaseLine Data'!$B9:$AQ21,6,FALSE)</f>
        <v>2</v>
      </c>
      <c r="H12" s="11">
        <f>VLOOKUP($B12,'BaseLine Data'!$B9:$AQ21,7,FALSE)</f>
        <v>1960</v>
      </c>
      <c r="I12" s="11">
        <f>VLOOKUP($B12,'BaseLine Data'!$B9:$AQ21,13,FALSE)</f>
        <v>2368</v>
      </c>
      <c r="J12" s="11">
        <f>VLOOKUP($B12,'BaseLine Data'!$B9:$AQ21,14,FALSE)</f>
        <v>2368</v>
      </c>
      <c r="K12" s="11">
        <f>VLOOKUP($B12,'BaseLine Data'!$B9:$AQ21,19,FALSE)</f>
        <v>1695</v>
      </c>
      <c r="L12" s="11">
        <f>VLOOKUP($B12,'BaseLine Data'!$B9:$AQ21,20,FALSE)</f>
        <v>584</v>
      </c>
      <c r="M12" s="47">
        <f>VLOOKUP($B12,'BaseLine Data'!$B9:$AQ21,21,FALSE)</f>
        <v>4.5285337703049304</v>
      </c>
      <c r="N12" s="84">
        <f>VLOOKUP($B12,'BaseLine Data'!$B9:$AQ21,22,FALSE)</f>
        <v>1.4326835012429675</v>
      </c>
      <c r="O12" s="47">
        <f>VLOOKUP($B12,'BaseLine Data'!$B9:$AQ21,25,FALSE)</f>
        <v>0.71579391891891897</v>
      </c>
      <c r="P12" s="47">
        <f>VLOOKUP($B12,'BaseLine Data'!$B9:$AQ21,26,FALSE)</f>
        <v>0.24662162162162163</v>
      </c>
      <c r="Q12" s="47">
        <f>VLOOKUP($B12,'BaseLine Data'!$B9:$AQ21,35,FALSE)</f>
        <v>2.4700000000000002</v>
      </c>
      <c r="R12" s="47">
        <f>VLOOKUP($B12,'BaseLine Data'!$B9:$AQ21,36,FALSE)</f>
        <v>5.74</v>
      </c>
      <c r="S12" s="40">
        <f>VLOOKUP($B12,'BaseLine Data'!$B9:$AQ21,29,FALSE)</f>
        <v>53.59</v>
      </c>
      <c r="T12" s="40">
        <f>VLOOKUP($B12,'BaseLine Data'!$B9:$AQ21,30,FALSE)</f>
        <v>108.13</v>
      </c>
      <c r="U12" s="48">
        <f t="shared" si="0"/>
        <v>23.950000000000003</v>
      </c>
      <c r="V12" s="48">
        <f t="shared" si="1"/>
        <v>39.25</v>
      </c>
      <c r="W12" s="85">
        <f t="shared" si="2"/>
        <v>10.114020270270272</v>
      </c>
      <c r="X12" s="59">
        <f t="shared" si="3"/>
        <v>16.575168918918919</v>
      </c>
      <c r="Y12" s="40">
        <f>VLOOKUP($B12,'BaseLine Data'!$B9:$AQ21,32,FALSE)</f>
        <v>26.05</v>
      </c>
      <c r="Z12" s="48">
        <f>VLOOKUP($B12,'BaseLine Data'!$B9:$AQ21,33,FALSE)</f>
        <v>50.54</v>
      </c>
      <c r="AA12" s="59">
        <f t="shared" si="4"/>
        <v>11.23</v>
      </c>
      <c r="AB12" s="59">
        <f t="shared" si="5"/>
        <v>16.100000000000001</v>
      </c>
      <c r="AC12" s="59">
        <f t="shared" si="8"/>
        <v>11.23</v>
      </c>
      <c r="AD12" s="59">
        <f t="shared" si="9"/>
        <v>16.100000000000001</v>
      </c>
      <c r="AE12" s="83">
        <f t="shared" si="6"/>
        <v>4.7423986486486482</v>
      </c>
      <c r="AF12" s="59">
        <f t="shared" si="7"/>
        <v>6.7989864864864868</v>
      </c>
      <c r="AG12" s="59">
        <f t="shared" si="10"/>
        <v>9.7761824324324316</v>
      </c>
      <c r="AH12">
        <v>0</v>
      </c>
      <c r="AI12" s="11">
        <f>VLOOKUP($B12,'BaseLine Data'!$B$9:$AQ31,40,FALSE)</f>
        <v>0</v>
      </c>
      <c r="AJ12" s="37">
        <f t="shared" si="11"/>
        <v>14.82</v>
      </c>
      <c r="AK12" s="37">
        <f t="shared" si="12"/>
        <v>34.44</v>
      </c>
      <c r="AL12" s="86">
        <f t="shared" si="13"/>
        <v>0.31855955678670361</v>
      </c>
      <c r="AM12" s="37">
        <f t="shared" si="14"/>
        <v>29.64</v>
      </c>
      <c r="AN12" s="37">
        <f t="shared" si="15"/>
        <v>68.88</v>
      </c>
      <c r="AO12" s="86">
        <f t="shared" si="16"/>
        <v>0.36298899472856749</v>
      </c>
      <c r="AP12">
        <f t="shared" si="17"/>
        <v>23.950000000000003</v>
      </c>
      <c r="AQ12">
        <f t="shared" si="18"/>
        <v>39.25</v>
      </c>
    </row>
    <row r="13" spans="1:43">
      <c r="A13" s="10" t="s">
        <v>24</v>
      </c>
      <c r="B13" s="11" t="s">
        <v>29</v>
      </c>
      <c r="C13" s="11">
        <f>VLOOKUP($B13,'BaseLine Data'!$B9:$AQ21,2,FALSE)</f>
        <v>1</v>
      </c>
      <c r="D13" s="11" t="str">
        <f>VLOOKUP($B13,'BaseLine Data'!$B9:$AY21,3,FALSE)</f>
        <v>Quincy</v>
      </c>
      <c r="E13" s="11">
        <f>VLOOKUP($B13,'BaseLine Data'!$B9:$AY21,4,FALSE)</f>
        <v>1808</v>
      </c>
      <c r="F13" s="11">
        <f>VLOOKUP($B13,'BaseLine Data'!$B9:$AQ21,2,FALSE)</f>
        <v>1</v>
      </c>
      <c r="G13" s="11">
        <f>VLOOKUP($B13,'BaseLine Data'!$B9:$AQ21,6,FALSE)</f>
        <v>1.5</v>
      </c>
      <c r="H13" s="11">
        <f>VLOOKUP($B13,'BaseLine Data'!$B9:$AQ21,7,FALSE)</f>
        <v>1905</v>
      </c>
      <c r="I13" s="11">
        <f>VLOOKUP($B13,'BaseLine Data'!$B9:$AQ21,13,FALSE)</f>
        <v>3484</v>
      </c>
      <c r="J13" s="11">
        <f>VLOOKUP($B13,'BaseLine Data'!$B9:$AQ21,14,FALSE)</f>
        <v>4576</v>
      </c>
      <c r="K13" s="11">
        <f>VLOOKUP($B13,'BaseLine Data'!$B9:$AQ21,19,FALSE)</f>
        <v>5050</v>
      </c>
      <c r="L13" s="11">
        <f>VLOOKUP($B13,'BaseLine Data'!$B9:$AQ21,20,FALSE)</f>
        <v>762</v>
      </c>
      <c r="M13" s="47">
        <f>VLOOKUP($B13,'BaseLine Data'!$B9:$AQ21,21,FALSE)</f>
        <v>18.53</v>
      </c>
      <c r="N13" s="84">
        <f>VLOOKUP($B13,'BaseLine Data'!$B9:$AQ21,22,FALSE)</f>
        <v>1.2579100863919002</v>
      </c>
      <c r="O13" s="47">
        <f>VLOOKUP($B13,'BaseLine Data'!$B9:$AQ21,25,FALSE)</f>
        <v>1.4494833524684272</v>
      </c>
      <c r="P13" s="47">
        <f>VLOOKUP($B13,'BaseLine Data'!$B9:$AQ21,26,FALSE)</f>
        <v>0.16652097902097901</v>
      </c>
      <c r="Q13" s="47">
        <f>VLOOKUP($B13,'BaseLine Data'!$B9:$AQ21,35,FALSE)</f>
        <v>2.92</v>
      </c>
      <c r="R13" s="47">
        <f>VLOOKUP($B13,'BaseLine Data'!$B9:$AQ21,36,FALSE)</f>
        <v>8.16</v>
      </c>
      <c r="S13" s="40">
        <f>VLOOKUP($B13,'BaseLine Data'!$B9:$AQ21,29,FALSE)</f>
        <v>59.97</v>
      </c>
      <c r="T13" s="40">
        <f>VLOOKUP($B13,'BaseLine Data'!$B9:$AQ21,30,FALSE)</f>
        <v>140.22</v>
      </c>
      <c r="U13" s="48">
        <f t="shared" si="0"/>
        <v>24.93</v>
      </c>
      <c r="V13" s="48">
        <f t="shared" si="1"/>
        <v>42.3</v>
      </c>
      <c r="W13" s="85">
        <f t="shared" si="2"/>
        <v>5.4479895104895109</v>
      </c>
      <c r="X13" s="59">
        <f t="shared" si="3"/>
        <v>9.2438811188811183</v>
      </c>
      <c r="Y13" s="40">
        <f>VLOOKUP($B13,'BaseLine Data'!$B9:$AQ21,32,FALSE)</f>
        <v>29.67</v>
      </c>
      <c r="Z13" s="48">
        <f>VLOOKUP($B13,'BaseLine Data'!$B9:$AQ21,33,FALSE)</f>
        <v>69.75</v>
      </c>
      <c r="AA13" s="59">
        <f t="shared" si="4"/>
        <v>12.150000000000002</v>
      </c>
      <c r="AB13" s="59">
        <f t="shared" si="5"/>
        <v>20.79</v>
      </c>
      <c r="AC13" s="59">
        <f t="shared" si="8"/>
        <v>12.150000000000002</v>
      </c>
      <c r="AD13" s="59">
        <f t="shared" si="9"/>
        <v>20.79</v>
      </c>
      <c r="AE13" s="83">
        <f t="shared" si="6"/>
        <v>2.6551573426573429</v>
      </c>
      <c r="AF13" s="59">
        <f t="shared" si="7"/>
        <v>4.5432692307692308</v>
      </c>
      <c r="AG13" s="59">
        <f t="shared" si="10"/>
        <v>4.7006118881118875</v>
      </c>
      <c r="AH13">
        <v>0</v>
      </c>
      <c r="AI13" s="11">
        <f>VLOOKUP($B13,'BaseLine Data'!$B$9:$AQ29,40,FALSE)</f>
        <v>0</v>
      </c>
      <c r="AJ13" s="37">
        <f t="shared" si="11"/>
        <v>17.52</v>
      </c>
      <c r="AK13" s="37">
        <f t="shared" si="12"/>
        <v>48.96</v>
      </c>
      <c r="AL13" s="86">
        <f t="shared" si="13"/>
        <v>0.29806451612903223</v>
      </c>
      <c r="AM13" s="37">
        <f t="shared" si="14"/>
        <v>35.04</v>
      </c>
      <c r="AN13" s="37">
        <f t="shared" si="15"/>
        <v>97.92</v>
      </c>
      <c r="AO13" s="86">
        <f t="shared" si="16"/>
        <v>0.30166880616174579</v>
      </c>
      <c r="AP13">
        <f t="shared" si="17"/>
        <v>24.93</v>
      </c>
      <c r="AQ13">
        <f t="shared" si="18"/>
        <v>42.3</v>
      </c>
    </row>
    <row r="14" spans="1:43" ht="30">
      <c r="A14" s="10" t="s">
        <v>24</v>
      </c>
      <c r="B14" s="11" t="s">
        <v>30</v>
      </c>
      <c r="C14" s="11">
        <f>VLOOKUP($B14,'BaseLine Data'!$B9:$AQ21,2,FALSE)</f>
        <v>2</v>
      </c>
      <c r="D14" s="11" t="str">
        <f>VLOOKUP($B14,'BaseLine Data'!$B9:$AQ21,3,FALSE)</f>
        <v>Arlington</v>
      </c>
      <c r="E14" s="11">
        <f>VLOOKUP($B14,'BaseLine Data'!$B9:$AQ21,4,FALSE)</f>
        <v>2112</v>
      </c>
      <c r="F14" s="11">
        <f>VLOOKUP($B14,'BaseLine Data'!$B9:$AQ21,2,FALSE)</f>
        <v>2</v>
      </c>
      <c r="G14" s="11">
        <f>VLOOKUP($B14,'BaseLine Data'!$B9:$AQ21,6,FALSE)</f>
        <v>2</v>
      </c>
      <c r="H14" s="11">
        <f>VLOOKUP($B14,'BaseLine Data'!$B9:$AQ21,7,FALSE)</f>
        <v>1910</v>
      </c>
      <c r="I14" s="11">
        <f>VLOOKUP($B14,'BaseLine Data'!$B9:$AQ21,13,FALSE)</f>
        <v>2502</v>
      </c>
      <c r="J14" s="11">
        <f>VLOOKUP($B14,'BaseLine Data'!$B9:$AQ21,14,FALSE)</f>
        <v>3627</v>
      </c>
      <c r="K14" s="11">
        <f>VLOOKUP($B14,'BaseLine Data'!$B9:$AQ21,19,FALSE)</f>
        <v>8730</v>
      </c>
      <c r="L14" s="11">
        <f>VLOOKUP($B14,'BaseLine Data'!$B9:$AQ21,20,FALSE)</f>
        <v>3586</v>
      </c>
      <c r="M14" s="47">
        <f>VLOOKUP($B14,'BaseLine Data'!$B9:$AQ21,21,FALSE)</f>
        <v>25.986009822890313</v>
      </c>
      <c r="N14" s="84">
        <f>VLOOKUP($B14,'BaseLine Data'!$B9:$AQ21,22,FALSE)</f>
        <v>7.2571505666486775</v>
      </c>
      <c r="O14" s="47">
        <f>VLOOKUP($B14,'BaseLine Data'!$B9:$AQ21,25,FALSE)</f>
        <v>3.4892086330935252</v>
      </c>
      <c r="P14" s="47">
        <f>VLOOKUP($B14,'BaseLine Data'!$B9:$AQ21,26,FALSE)</f>
        <v>0.98869589192169838</v>
      </c>
      <c r="Q14" s="47">
        <f>VLOOKUP($B14,'BaseLine Data'!$B9:$AQ21,35,FALSE)</f>
        <v>4.1500000000000004</v>
      </c>
      <c r="R14" s="47">
        <f>VLOOKUP($B14,'BaseLine Data'!$B9:$AQ21,36,FALSE)</f>
        <v>10.76</v>
      </c>
      <c r="S14" s="40">
        <f>VLOOKUP($B14,'BaseLine Data'!$B9:$AQ21,29,FALSE)</f>
        <v>100.75</v>
      </c>
      <c r="T14" s="40">
        <f>VLOOKUP($B14,'BaseLine Data'!$B9:$AQ21,30,FALSE)</f>
        <v>216.58</v>
      </c>
      <c r="U14" s="48">
        <f t="shared" si="0"/>
        <v>50.949999999999996</v>
      </c>
      <c r="V14" s="48">
        <f t="shared" si="1"/>
        <v>87.460000000000008</v>
      </c>
      <c r="W14" s="85">
        <f t="shared" si="2"/>
        <v>14.047422111938239</v>
      </c>
      <c r="X14" s="59">
        <f t="shared" si="3"/>
        <v>24.113592500689279</v>
      </c>
      <c r="Y14" s="40">
        <f>VLOOKUP($B14,'BaseLine Data'!$B9:$AQ21,32,FALSE)</f>
        <v>44.42</v>
      </c>
      <c r="Z14" s="48">
        <f>VLOOKUP($B14,'BaseLine Data'!$B9:$AQ21,33,FALSE)</f>
        <v>91.72</v>
      </c>
      <c r="AA14" s="59">
        <f t="shared" si="4"/>
        <v>19.52</v>
      </c>
      <c r="AB14" s="59">
        <f t="shared" si="5"/>
        <v>27.159999999999997</v>
      </c>
      <c r="AC14" s="59">
        <f t="shared" si="8"/>
        <v>9.76</v>
      </c>
      <c r="AD14" s="59">
        <f t="shared" si="9"/>
        <v>13.579999999999998</v>
      </c>
      <c r="AE14" s="83">
        <f t="shared" si="6"/>
        <v>5.3818582850840917</v>
      </c>
      <c r="AF14" s="59">
        <f t="shared" si="7"/>
        <v>7.4882823269920031</v>
      </c>
      <c r="AG14" s="59">
        <f t="shared" si="10"/>
        <v>16.625310173697276</v>
      </c>
      <c r="AH14">
        <v>0</v>
      </c>
      <c r="AI14" s="11">
        <f>VLOOKUP($B14,'BaseLine Data'!$B$9:$AQ32,40,FALSE)</f>
        <v>0</v>
      </c>
      <c r="AJ14" s="37">
        <f t="shared" si="11"/>
        <v>24.900000000000002</v>
      </c>
      <c r="AK14" s="37">
        <f t="shared" si="12"/>
        <v>64.56</v>
      </c>
      <c r="AL14" s="86">
        <f t="shared" si="13"/>
        <v>0.29611862189271693</v>
      </c>
      <c r="AM14" s="37">
        <f t="shared" si="14"/>
        <v>49.800000000000004</v>
      </c>
      <c r="AN14" s="37">
        <f t="shared" si="15"/>
        <v>129.12</v>
      </c>
      <c r="AO14" s="86">
        <f t="shared" si="16"/>
        <v>0.40382306768861392</v>
      </c>
      <c r="AP14">
        <f t="shared" si="17"/>
        <v>25.474999999999998</v>
      </c>
      <c r="AQ14">
        <f t="shared" si="18"/>
        <v>43.730000000000004</v>
      </c>
    </row>
    <row r="15" spans="1:43">
      <c r="A15" s="10" t="s">
        <v>24</v>
      </c>
      <c r="B15" s="11" t="s">
        <v>32</v>
      </c>
      <c r="C15" s="11">
        <f>VLOOKUP($B15,'BaseLine Data'!$B9:$AQ21,2,FALSE)</f>
        <v>1</v>
      </c>
      <c r="D15" s="11" t="str">
        <f>VLOOKUP($B15,'BaseLine Data'!$B9:$AQ21,3,FALSE)</f>
        <v>Newton</v>
      </c>
      <c r="E15" s="11">
        <f>VLOOKUP($B15,'BaseLine Data'!$B9:$AQ21,4,FALSE)</f>
        <v>1724</v>
      </c>
      <c r="F15" s="11">
        <f>VLOOKUP($B15,'BaseLine Data'!$B9:$AQ21,2,FALSE)</f>
        <v>1</v>
      </c>
      <c r="G15" s="11">
        <f>VLOOKUP($B15,'BaseLine Data'!$B9:$AQ21,6,FALSE)</f>
        <v>1</v>
      </c>
      <c r="H15" s="11">
        <f>VLOOKUP($B15,'BaseLine Data'!$B9:$AQ21,7,FALSE)</f>
        <v>1930</v>
      </c>
      <c r="I15" s="11">
        <f>VLOOKUP($B15,'BaseLine Data'!$B9:$AQ21,13,FALSE)</f>
        <v>1815</v>
      </c>
      <c r="J15" s="11">
        <f>VLOOKUP($B15,'BaseLine Data'!$B9:$AQ21,14,FALSE)</f>
        <v>2199</v>
      </c>
      <c r="K15" s="11">
        <f>VLOOKUP($B15,'BaseLine Data'!$B9:$AQ21,19,FALSE)</f>
        <v>3199</v>
      </c>
      <c r="L15" s="11">
        <f>VLOOKUP($B15,'BaseLine Data'!$B9:$AQ21,20,FALSE)</f>
        <v>1299</v>
      </c>
      <c r="M15" s="47">
        <f>VLOOKUP($B15,'BaseLine Data'!$B9:$AQ21,21,FALSE)</f>
        <v>10.192767245499441</v>
      </c>
      <c r="N15" s="84">
        <f>VLOOKUP($B15,'BaseLine Data'!$B9:$AQ21,22,FALSE)</f>
        <v>3.558254200146092</v>
      </c>
      <c r="O15" s="47">
        <f>VLOOKUP($B15,'BaseLine Data'!$B9:$AQ21,25,FALSE)</f>
        <v>1.7625344352617081</v>
      </c>
      <c r="P15" s="47">
        <f>VLOOKUP($B15,'BaseLine Data'!$B9:$AQ21,26,FALSE)</f>
        <v>0.59072305593451568</v>
      </c>
      <c r="Q15" s="47">
        <f>VLOOKUP($B15,'BaseLine Data'!$B9:$AQ21,35,FALSE)</f>
        <v>2.59</v>
      </c>
      <c r="R15" s="47">
        <f>VLOOKUP($B15,'BaseLine Data'!$B9:$AQ21,36,FALSE)</f>
        <v>6.25</v>
      </c>
      <c r="S15" s="40">
        <f>VLOOKUP($B15,'BaseLine Data'!$B9:$AQ21,29,FALSE)</f>
        <v>66.16</v>
      </c>
      <c r="T15" s="40">
        <f>VLOOKUP($B15,'BaseLine Data'!$B9:$AQ21,30,FALSE)</f>
        <v>125.36</v>
      </c>
      <c r="U15" s="48">
        <f t="shared" si="0"/>
        <v>35.08</v>
      </c>
      <c r="V15" s="48">
        <f t="shared" si="1"/>
        <v>50.36</v>
      </c>
      <c r="W15" s="85">
        <f t="shared" si="2"/>
        <v>15.952705775352433</v>
      </c>
      <c r="X15" s="59">
        <f t="shared" si="3"/>
        <v>22.901318781264212</v>
      </c>
      <c r="Y15" s="40">
        <f>VLOOKUP($B15,'BaseLine Data'!$B9:$AQ21,32,FALSE)</f>
        <v>28.33</v>
      </c>
      <c r="Z15" s="48">
        <f>VLOOKUP($B15,'BaseLine Data'!$B9:$AQ21,33,FALSE)</f>
        <v>55.42</v>
      </c>
      <c r="AA15" s="59">
        <f t="shared" si="4"/>
        <v>12.79</v>
      </c>
      <c r="AB15" s="59">
        <f t="shared" si="5"/>
        <v>17.920000000000002</v>
      </c>
      <c r="AC15" s="59">
        <f t="shared" si="8"/>
        <v>12.79</v>
      </c>
      <c r="AD15" s="59">
        <f t="shared" si="9"/>
        <v>17.920000000000002</v>
      </c>
      <c r="AE15" s="83">
        <f t="shared" si="6"/>
        <v>5.8162801273306046</v>
      </c>
      <c r="AF15" s="59">
        <f t="shared" si="7"/>
        <v>8.1491587085038653</v>
      </c>
      <c r="AG15" s="59">
        <f t="shared" si="10"/>
        <v>14.752160072760347</v>
      </c>
      <c r="AH15">
        <v>0</v>
      </c>
      <c r="AI15" s="11">
        <f>VLOOKUP($B15,'BaseLine Data'!$B$9:$AQ33,40,FALSE)</f>
        <v>0</v>
      </c>
      <c r="AJ15" s="37">
        <f t="shared" si="11"/>
        <v>15.54</v>
      </c>
      <c r="AK15" s="37">
        <f t="shared" si="12"/>
        <v>37.5</v>
      </c>
      <c r="AL15" s="86">
        <f t="shared" si="13"/>
        <v>0.32334897149043668</v>
      </c>
      <c r="AM15" s="37">
        <f t="shared" si="14"/>
        <v>31.08</v>
      </c>
      <c r="AN15" s="37">
        <f t="shared" si="15"/>
        <v>75</v>
      </c>
      <c r="AO15" s="86">
        <f t="shared" si="16"/>
        <v>0.40172303765156347</v>
      </c>
      <c r="AP15">
        <f t="shared" si="17"/>
        <v>35.08</v>
      </c>
      <c r="AQ15">
        <f t="shared" si="18"/>
        <v>50.36</v>
      </c>
    </row>
    <row r="16" spans="1:43">
      <c r="A16" s="10" t="s">
        <v>24</v>
      </c>
      <c r="B16" s="11" t="s">
        <v>33</v>
      </c>
      <c r="C16" s="11">
        <f>VLOOKUP($B16,'BaseLine Data'!$B9:$AQ21,2,FALSE)</f>
        <v>3</v>
      </c>
      <c r="D16" s="11" t="str">
        <f>VLOOKUP($B16,'BaseLine Data'!$B9:$AQ21,3,FALSE)</f>
        <v>Jamaica Plain</v>
      </c>
      <c r="E16" s="11">
        <f>VLOOKUP($B16,'BaseLine Data'!$B9:$AQ21,4,FALSE)</f>
        <v>3885</v>
      </c>
      <c r="F16" s="11">
        <f>VLOOKUP($B16,'BaseLine Data'!$B9:$AQ21,2,FALSE)</f>
        <v>3</v>
      </c>
      <c r="G16" s="11">
        <f>VLOOKUP($B16,'BaseLine Data'!$B9:$AQ21,6,FALSE)</f>
        <v>3</v>
      </c>
      <c r="H16" s="11">
        <f>VLOOKUP($B16,'BaseLine Data'!$B9:$AQ21,7,FALSE)</f>
        <v>1907</v>
      </c>
      <c r="I16" s="11">
        <f>VLOOKUP($B16,'BaseLine Data'!$B9:$AQ21,13,FALSE)</f>
        <v>3885</v>
      </c>
      <c r="J16" s="11">
        <f>VLOOKUP($B16,'BaseLine Data'!$B9:$AQ21,14,FALSE)</f>
        <v>3885</v>
      </c>
      <c r="K16" s="11">
        <f>VLOOKUP($B16,'BaseLine Data'!$B9:$AQ21,19,FALSE)</f>
        <v>7729</v>
      </c>
      <c r="L16" s="11">
        <f>VLOOKUP($B16,'BaseLine Data'!$B9:$AQ21,20,FALSE)</f>
        <v>1802</v>
      </c>
      <c r="M16" s="47">
        <f>VLOOKUP($B16,'BaseLine Data'!$B9:$AQ21,21,FALSE)</f>
        <v>10.889494199971821</v>
      </c>
      <c r="N16" s="84">
        <f>VLOOKUP($B16,'BaseLine Data'!$B9:$AQ21,22,FALSE)</f>
        <v>2.5388625369839852</v>
      </c>
      <c r="O16" s="47">
        <f>VLOOKUP($B16,'BaseLine Data'!$B9:$AQ21,25,FALSE)</f>
        <v>1.9894465894465894</v>
      </c>
      <c r="P16" s="47">
        <f>VLOOKUP($B16,'BaseLine Data'!$B9:$AQ21,26,FALSE)</f>
        <v>0.46383526383526386</v>
      </c>
      <c r="Q16" s="47">
        <f>VLOOKUP($B16,'BaseLine Data'!$B9:$AQ21,35,FALSE)</f>
        <v>4.38</v>
      </c>
      <c r="R16" s="47">
        <f>VLOOKUP($B16,'BaseLine Data'!$B9:$AQ21,36,FALSE)</f>
        <v>8.08</v>
      </c>
      <c r="S16" s="40">
        <f>VLOOKUP($B16,'BaseLine Data'!$B9:$AQ21,29,FALSE)</f>
        <v>100.8</v>
      </c>
      <c r="T16" s="40">
        <f>VLOOKUP($B16,'BaseLine Data'!$B9:$AQ21,30,FALSE)</f>
        <v>153.69999999999999</v>
      </c>
      <c r="U16" s="48">
        <f t="shared" si="0"/>
        <v>48.239999999999995</v>
      </c>
      <c r="V16" s="48">
        <f t="shared" si="1"/>
        <v>56.739999999999981</v>
      </c>
      <c r="W16" s="85">
        <f t="shared" si="2"/>
        <v>12.416988416988415</v>
      </c>
      <c r="X16" s="59">
        <f t="shared" si="3"/>
        <v>14.604890604890599</v>
      </c>
      <c r="Y16" s="40">
        <f>VLOOKUP($B16,'BaseLine Data'!$B9:$AQ21,32,FALSE)</f>
        <v>50.35</v>
      </c>
      <c r="Z16" s="48">
        <f>VLOOKUP($B16,'BaseLine Data'!$B9:$AQ21,33,FALSE)</f>
        <v>75.52</v>
      </c>
      <c r="AA16" s="59">
        <f t="shared" si="4"/>
        <v>24.07</v>
      </c>
      <c r="AB16" s="59">
        <f t="shared" si="5"/>
        <v>27.039999999999992</v>
      </c>
      <c r="AC16" s="59">
        <f t="shared" si="8"/>
        <v>8.0233333333333334</v>
      </c>
      <c r="AD16" s="59">
        <f t="shared" si="9"/>
        <v>9.0133333333333301</v>
      </c>
      <c r="AE16" s="83">
        <f t="shared" si="6"/>
        <v>6.1956241956241955</v>
      </c>
      <c r="AF16" s="59">
        <f t="shared" si="7"/>
        <v>6.960102960102958</v>
      </c>
      <c r="AG16" s="59">
        <f t="shared" si="10"/>
        <v>7.6447876447876411</v>
      </c>
      <c r="AH16">
        <v>0</v>
      </c>
      <c r="AI16" s="11">
        <f>VLOOKUP($B16,'BaseLine Data'!$B$9:$AQ23,40,FALSE)</f>
        <v>0</v>
      </c>
      <c r="AJ16" s="37">
        <f t="shared" si="11"/>
        <v>26.28</v>
      </c>
      <c r="AK16" s="37">
        <f t="shared" si="12"/>
        <v>48.480000000000004</v>
      </c>
      <c r="AL16" s="86">
        <f t="shared" si="13"/>
        <v>0.35805084745762705</v>
      </c>
      <c r="AM16" s="37">
        <f t="shared" si="14"/>
        <v>52.56</v>
      </c>
      <c r="AN16" s="37">
        <f t="shared" si="15"/>
        <v>96.960000000000008</v>
      </c>
      <c r="AO16" s="86">
        <f t="shared" si="16"/>
        <v>0.36916070266753404</v>
      </c>
      <c r="AP16">
        <f t="shared" si="17"/>
        <v>16.079999999999998</v>
      </c>
      <c r="AQ16">
        <f t="shared" si="18"/>
        <v>18.913333333333327</v>
      </c>
    </row>
    <row r="17" spans="1:43" ht="30">
      <c r="A17" s="10" t="s">
        <v>24</v>
      </c>
      <c r="B17" s="11" t="s">
        <v>34</v>
      </c>
      <c r="C17" s="11">
        <f>VLOOKUP($B17,'BaseLine Data'!$B9:$AQ21,2,FALSE)</f>
        <v>1</v>
      </c>
      <c r="D17" s="11" t="str">
        <f>VLOOKUP($B17,'BaseLine Data'!$B9:$AQ21,3,FALSE)</f>
        <v>Northampton</v>
      </c>
      <c r="E17" s="11">
        <f>VLOOKUP($B17,'BaseLine Data'!$B9:$AQ21,4,FALSE)</f>
        <v>2032</v>
      </c>
      <c r="F17" s="11">
        <f>VLOOKUP($B17,'BaseLine Data'!$B9:$AQ21,2,FALSE)</f>
        <v>1</v>
      </c>
      <c r="G17" s="11">
        <f>VLOOKUP($B17,'BaseLine Data'!$B9:$AQ21,6,FALSE)</f>
        <v>1</v>
      </c>
      <c r="H17" s="11">
        <f>VLOOKUP($B17,'BaseLine Data'!$B9:$AQ21,7,FALSE)</f>
        <v>1859</v>
      </c>
      <c r="I17" s="11">
        <f>VLOOKUP($B17,'BaseLine Data'!$B9:$AQ21,13,FALSE)</f>
        <v>2032</v>
      </c>
      <c r="J17" s="11">
        <f>VLOOKUP($B17,'BaseLine Data'!$B9:$AQ21,14,FALSE)</f>
        <v>2747</v>
      </c>
      <c r="K17" s="11">
        <f>VLOOKUP($B17,'BaseLine Data'!$B9:$AQ21,19,FALSE)</f>
        <v>6155</v>
      </c>
      <c r="L17" s="11">
        <f>VLOOKUP($B17,'BaseLine Data'!$B9:$AQ21,20,FALSE)</f>
        <v>473</v>
      </c>
      <c r="M17" s="47">
        <f>VLOOKUP($B17,'BaseLine Data'!$B9:$AQ21,21,FALSE)</f>
        <v>0</v>
      </c>
      <c r="N17" s="84">
        <f>VLOOKUP($B17,'BaseLine Data'!$B9:$AQ21,22,FALSE)</f>
        <v>0.81966266173752311</v>
      </c>
      <c r="O17" s="47">
        <f>VLOOKUP($B17,'BaseLine Data'!$B9:$AQ21,25,FALSE)</f>
        <v>3.0290354330708662</v>
      </c>
      <c r="P17" s="47">
        <f>VLOOKUP($B17,'BaseLine Data'!$B9:$AQ21,26,FALSE)</f>
        <v>0.17218784128139789</v>
      </c>
      <c r="Q17" s="47">
        <f>VLOOKUP($B17,'BaseLine Data'!$B9:$AQ21,35,FALSE)</f>
        <v>1.61</v>
      </c>
      <c r="R17" s="47">
        <f>VLOOKUP($B17,'BaseLine Data'!$B9:$AQ21,36,FALSE)</f>
        <v>5.37</v>
      </c>
      <c r="S17" s="40">
        <f>VLOOKUP($B17,'BaseLine Data'!$B9:$AQ21,29,FALSE)</f>
        <v>26.27</v>
      </c>
      <c r="T17" s="40">
        <f>VLOOKUP($B17,'BaseLine Data'!$B9:$AQ21,30,FALSE)</f>
        <v>87.74</v>
      </c>
      <c r="U17" s="48">
        <f t="shared" si="0"/>
        <v>6.9499999999999993</v>
      </c>
      <c r="V17" s="48">
        <f t="shared" si="1"/>
        <v>23.299999999999997</v>
      </c>
      <c r="W17" s="85">
        <f t="shared" si="2"/>
        <v>2.530032763014197</v>
      </c>
      <c r="X17" s="59">
        <f t="shared" si="3"/>
        <v>8.4819803421914806</v>
      </c>
      <c r="Y17" s="40">
        <f>VLOOKUP($B17,'BaseLine Data'!$B9:$AQ21,32,FALSE)</f>
        <v>12.38</v>
      </c>
      <c r="Z17" s="48">
        <f>VLOOKUP($B17,'BaseLine Data'!$B9:$AQ21,33,FALSE)</f>
        <v>41.35</v>
      </c>
      <c r="AA17" s="59">
        <f t="shared" si="4"/>
        <v>2.7200000000000006</v>
      </c>
      <c r="AB17" s="59">
        <f t="shared" si="5"/>
        <v>9.1300000000000026</v>
      </c>
      <c r="AC17" s="59">
        <f t="shared" si="8"/>
        <v>2.7200000000000006</v>
      </c>
      <c r="AD17" s="59">
        <f t="shared" si="9"/>
        <v>9.1300000000000026</v>
      </c>
      <c r="AE17" s="83">
        <f t="shared" si="6"/>
        <v>0.9901710957408083</v>
      </c>
      <c r="AF17" s="59">
        <f t="shared" si="7"/>
        <v>3.3236257735711692</v>
      </c>
      <c r="AG17" s="59">
        <f t="shared" si="10"/>
        <v>5.1583545686203109</v>
      </c>
      <c r="AH17">
        <v>0</v>
      </c>
      <c r="AI17" s="11">
        <f>VLOOKUP($B17,'BaseLine Data'!$B$9:$AQ24,40,FALSE)</f>
        <v>0</v>
      </c>
      <c r="AJ17" s="37">
        <f t="shared" si="11"/>
        <v>9.66</v>
      </c>
      <c r="AK17" s="37">
        <f t="shared" si="12"/>
        <v>32.22</v>
      </c>
      <c r="AL17" s="86">
        <f t="shared" si="13"/>
        <v>0.22079806529625157</v>
      </c>
      <c r="AM17" s="37">
        <f t="shared" si="14"/>
        <v>19.32</v>
      </c>
      <c r="AN17" s="37">
        <f t="shared" si="15"/>
        <v>64.44</v>
      </c>
      <c r="AO17" s="86">
        <f t="shared" si="16"/>
        <v>0.26555732847048097</v>
      </c>
      <c r="AP17">
        <f t="shared" si="17"/>
        <v>6.9499999999999993</v>
      </c>
      <c r="AQ17">
        <f t="shared" si="18"/>
        <v>23.299999999999997</v>
      </c>
    </row>
    <row r="18" spans="1:43" ht="90">
      <c r="A18" s="10" t="s">
        <v>24</v>
      </c>
      <c r="B18" s="11" t="s">
        <v>35</v>
      </c>
      <c r="C18" s="11">
        <f>VLOOKUP($B18,'BaseLine Data'!$B9:$AQ21,2,FALSE)</f>
        <v>1</v>
      </c>
      <c r="D18" s="11" t="str">
        <f>VLOOKUP($B18,'BaseLine Data'!$B9:$AQ21,3,FALSE)</f>
        <v>Lancaster</v>
      </c>
      <c r="E18" s="11">
        <f>VLOOKUP($B18,'BaseLine Data'!$B9:$AQ21,4,FALSE)</f>
        <v>908</v>
      </c>
      <c r="F18" s="11">
        <f>VLOOKUP($B18,'BaseLine Data'!$B9:$AQ21,2,FALSE)</f>
        <v>1</v>
      </c>
      <c r="G18" s="11">
        <f>VLOOKUP($B18,'BaseLine Data'!$B9:$AQ21,6,FALSE)</f>
        <v>2</v>
      </c>
      <c r="H18" s="11">
        <f>VLOOKUP($B18,'BaseLine Data'!$B9:$AQ21,7,FALSE)</f>
        <v>1900</v>
      </c>
      <c r="I18" s="11">
        <f>VLOOKUP($B18,'BaseLine Data'!$B9:$AQ21,13,FALSE)</f>
        <v>980</v>
      </c>
      <c r="J18" s="11">
        <f>VLOOKUP($B18,'BaseLine Data'!$B9:$AQ21,14,FALSE)</f>
        <v>1440</v>
      </c>
      <c r="K18" s="11">
        <f>VLOOKUP($B18,'BaseLine Data'!$B9:$AQ21,19,FALSE)</f>
        <v>4254</v>
      </c>
      <c r="L18" s="11">
        <f>VLOOKUP($B18,'BaseLine Data'!$B9:$AQ21,20,FALSE)</f>
        <v>293</v>
      </c>
      <c r="M18" s="47">
        <f>VLOOKUP($B18,'BaseLine Data'!$B9:$AQ21,21,FALSE)</f>
        <v>36.050847457627121</v>
      </c>
      <c r="N18" s="84">
        <f>VLOOKUP($B18,'BaseLine Data'!$B9:$AQ21,22,FALSE)</f>
        <v>1.4250972762645915</v>
      </c>
      <c r="O18" s="47">
        <f>VLOOKUP($B18,'BaseLine Data'!$B9:$AQ21,25,FALSE)</f>
        <v>4.3408163265306126</v>
      </c>
      <c r="P18" s="47">
        <f>VLOOKUP($B18,'BaseLine Data'!$B9:$AQ21,26,FALSE)</f>
        <v>0.20347222222222222</v>
      </c>
      <c r="Q18" s="47">
        <f>VLOOKUP($B18,'BaseLine Data'!$B9:$AQ21,35,FALSE)</f>
        <v>3.3</v>
      </c>
      <c r="R18" s="47">
        <f>VLOOKUP($B18,'BaseLine Data'!$B9:$AQ21,36,FALSE)</f>
        <v>6.98</v>
      </c>
      <c r="S18" s="40">
        <f>VLOOKUP($B18,'BaseLine Data'!$B9:$AQ21,29,FALSE)</f>
        <v>0</v>
      </c>
      <c r="T18" s="40">
        <f>VLOOKUP($B18,'BaseLine Data'!$B9:$AQ21,30,FALSE)</f>
        <v>0</v>
      </c>
      <c r="U18" s="48">
        <f t="shared" si="0"/>
        <v>0</v>
      </c>
      <c r="V18" s="48">
        <f t="shared" si="1"/>
        <v>0</v>
      </c>
      <c r="W18" s="85">
        <f t="shared" si="2"/>
        <v>0</v>
      </c>
      <c r="X18" s="83">
        <f t="shared" si="3"/>
        <v>0</v>
      </c>
      <c r="Y18" s="40">
        <f>VLOOKUP($B18,'BaseLine Data'!$B9:$AQ21,32,FALSE)</f>
        <v>22.26</v>
      </c>
      <c r="Z18" s="48">
        <f>VLOOKUP($B18,'BaseLine Data'!$B9:$AQ21,33,FALSE)</f>
        <v>50.03</v>
      </c>
      <c r="AA18" s="59">
        <f t="shared" si="4"/>
        <v>2.4600000000000044</v>
      </c>
      <c r="AB18" s="59">
        <f t="shared" si="5"/>
        <v>8.1499999999999986</v>
      </c>
      <c r="AC18" s="59">
        <f t="shared" si="8"/>
        <v>2.4600000000000044</v>
      </c>
      <c r="AD18" s="59">
        <f t="shared" si="9"/>
        <v>8.1499999999999986</v>
      </c>
      <c r="AE18" s="83">
        <f t="shared" si="6"/>
        <v>1.7083333333333366</v>
      </c>
      <c r="AF18" s="59">
        <f t="shared" si="7"/>
        <v>5.6597222222222205</v>
      </c>
      <c r="AG18" s="59">
        <f t="shared" si="10"/>
        <v>0</v>
      </c>
      <c r="AH18" s="59">
        <f>1000*AB18/J18</f>
        <v>5.6597222222222205</v>
      </c>
      <c r="AI18" s="59">
        <f>1000*2*AB18/J18</f>
        <v>11.319444444444441</v>
      </c>
      <c r="AJ18" s="37">
        <f t="shared" si="11"/>
        <v>19.799999999999997</v>
      </c>
      <c r="AK18" s="37">
        <f t="shared" si="12"/>
        <v>41.88</v>
      </c>
      <c r="AL18" s="86">
        <f t="shared" si="13"/>
        <v>0.16290225864481309</v>
      </c>
      <c r="AM18" s="37">
        <f t="shared" si="14"/>
        <v>0</v>
      </c>
      <c r="AN18" s="37">
        <f t="shared" si="15"/>
        <v>0</v>
      </c>
    </row>
    <row r="19" spans="1:43">
      <c r="A19" s="10" t="s">
        <v>31</v>
      </c>
      <c r="B19" s="11" t="s">
        <v>36</v>
      </c>
      <c r="C19" s="11">
        <f>VLOOKUP($B19,'BaseLine Data'!$B9:$AQ21,2,FALSE)</f>
        <v>1</v>
      </c>
      <c r="D19" s="11" t="str">
        <f>VLOOKUP($B19,'BaseLine Data'!$B9:$AQ21,3,FALSE)</f>
        <v>Brookline</v>
      </c>
      <c r="E19" s="11">
        <f>VLOOKUP($B19,'BaseLine Data'!$B9:$AQ21,4,FALSE)</f>
        <v>2284</v>
      </c>
      <c r="F19" s="11">
        <f>VLOOKUP($B19,'BaseLine Data'!$B9:$AQ21,2,FALSE)</f>
        <v>1</v>
      </c>
      <c r="G19" s="11">
        <f>VLOOKUP($B19,'BaseLine Data'!$B9:$AQ21,6,FALSE)</f>
        <v>3</v>
      </c>
      <c r="H19" s="11">
        <f>VLOOKUP($B19,'BaseLine Data'!$B9:$AQ21,7,FALSE)</f>
        <v>1899</v>
      </c>
      <c r="I19" s="11">
        <f>VLOOKUP($B19,'BaseLine Data'!$B9:$AQ21,13,FALSE)</f>
        <v>3078</v>
      </c>
      <c r="J19" s="11">
        <f>VLOOKUP($B19,'BaseLine Data'!$B9:$AQ21,14,FALSE)</f>
        <v>3174</v>
      </c>
      <c r="K19" s="11">
        <f>VLOOKUP($B19,'BaseLine Data'!$B9:$AQ21,19,FALSE)</f>
        <v>1640</v>
      </c>
      <c r="L19" s="11">
        <f>VLOOKUP($B19,'BaseLine Data'!$B9:$AQ21,20,FALSE)</f>
        <v>655</v>
      </c>
      <c r="M19" s="47">
        <f>VLOOKUP($B19,'BaseLine Data'!$B9:$AQ21,21,FALSE)</f>
        <v>3.7575896437163481</v>
      </c>
      <c r="N19" s="84">
        <f>VLOOKUP($B19,'BaseLine Data'!$B9:$AQ21,22,FALSE)</f>
        <v>1.5007446442891512</v>
      </c>
      <c r="O19" s="47">
        <f>VLOOKUP($B19,'BaseLine Data'!$B9:$AQ21,25,FALSE)</f>
        <v>0.53281351526965559</v>
      </c>
      <c r="P19" s="47">
        <f>VLOOKUP($B19,'BaseLine Data'!$B9:$AQ21,26,FALSE)</f>
        <v>0.20636420919974796</v>
      </c>
      <c r="Q19" s="47">
        <f>VLOOKUP($B19,'BaseLine Data'!$B9:$AQ21,35,FALSE)</f>
        <v>2.27</v>
      </c>
      <c r="R19" s="47">
        <f>VLOOKUP($B19,'BaseLine Data'!$B9:$AQ21,36,FALSE)</f>
        <v>4.37</v>
      </c>
      <c r="S19" s="40">
        <f>VLOOKUP($B19,'BaseLine Data'!$B9:$AQ21,29,FALSE)</f>
        <v>0</v>
      </c>
      <c r="T19" s="40">
        <f>VLOOKUP($B19,'BaseLine Data'!$B9:$AQ21,30,FALSE)</f>
        <v>0</v>
      </c>
      <c r="U19" s="48">
        <f t="shared" si="0"/>
        <v>0</v>
      </c>
      <c r="V19" s="48">
        <f t="shared" si="1"/>
        <v>0</v>
      </c>
      <c r="W19" s="85">
        <f t="shared" si="2"/>
        <v>0</v>
      </c>
      <c r="X19" s="83">
        <f t="shared" si="3"/>
        <v>0</v>
      </c>
      <c r="Y19" s="40">
        <f>VLOOKUP($B19,'BaseLine Data'!$B9:$AQ21,32,FALSE)</f>
        <v>28.04</v>
      </c>
      <c r="Z19" s="48">
        <f>VLOOKUP($B19,'BaseLine Data'!$B9:$AQ21,33,FALSE)</f>
        <v>43.43</v>
      </c>
      <c r="AA19" s="59">
        <f t="shared" si="4"/>
        <v>14.419999999999998</v>
      </c>
      <c r="AB19" s="59">
        <f t="shared" si="5"/>
        <v>17.21</v>
      </c>
      <c r="AC19" s="59">
        <f t="shared" si="8"/>
        <v>14.419999999999998</v>
      </c>
      <c r="AD19" s="59">
        <f t="shared" si="9"/>
        <v>17.21</v>
      </c>
      <c r="AE19" s="83">
        <f t="shared" si="6"/>
        <v>4.5431632010081913</v>
      </c>
      <c r="AF19" s="59">
        <f t="shared" si="7"/>
        <v>5.4221802142407061</v>
      </c>
      <c r="AG19" s="59">
        <f t="shared" si="10"/>
        <v>0</v>
      </c>
      <c r="AH19" s="59">
        <f>1000*AB19/J19</f>
        <v>5.4221802142407061</v>
      </c>
      <c r="AI19" s="59">
        <f>1000*2*AB19/J19</f>
        <v>10.844360428481412</v>
      </c>
      <c r="AJ19" s="37">
        <f t="shared" si="11"/>
        <v>13.620000000000001</v>
      </c>
      <c r="AK19" s="37">
        <f t="shared" si="12"/>
        <v>26.22</v>
      </c>
      <c r="AL19" s="86">
        <f t="shared" si="13"/>
        <v>0.39626985954409399</v>
      </c>
      <c r="AM19" s="37">
        <f t="shared" si="14"/>
        <v>0</v>
      </c>
      <c r="AN19" s="37">
        <f t="shared" si="15"/>
        <v>0</v>
      </c>
    </row>
    <row r="20" spans="1:43">
      <c r="A20" s="10" t="s">
        <v>24</v>
      </c>
      <c r="B20" s="11" t="s">
        <v>37</v>
      </c>
      <c r="C20" s="11">
        <f>VLOOKUP($B20,'BaseLine Data'!$B9:$AQ21,2,FALSE)</f>
        <v>1</v>
      </c>
      <c r="D20" s="11" t="str">
        <f>VLOOKUP($B20,'BaseLine Data'!$B9:$AQ21,3,FALSE)</f>
        <v>Westford</v>
      </c>
      <c r="E20" s="11">
        <f>VLOOKUP($B20,'BaseLine Data'!$B9:$AQ21,4,FALSE)</f>
        <v>2906</v>
      </c>
      <c r="F20" s="11">
        <f>VLOOKUP($B20,'BaseLine Data'!$B9:$AQ21,2,FALSE)</f>
        <v>1</v>
      </c>
      <c r="G20" s="11">
        <f>VLOOKUP($B20,'BaseLine Data'!$B9:$AQ21,6,FALSE)</f>
        <v>2</v>
      </c>
      <c r="H20" s="11">
        <f>VLOOKUP($B20,'BaseLine Data'!$B9:$AQ21,7,FALSE)</f>
        <v>1993</v>
      </c>
      <c r="I20" s="11">
        <f>VLOOKUP($B20,'BaseLine Data'!$B9:$AQ21,13,FALSE)</f>
        <v>2906</v>
      </c>
      <c r="J20" s="11">
        <f>VLOOKUP($B20,'BaseLine Data'!$B9:$AQ21,14,FALSE)</f>
        <v>3955</v>
      </c>
      <c r="K20" s="11">
        <f>VLOOKUP($B20,'BaseLine Data'!$B9:$AQ21,19,FALSE)</f>
        <v>2592</v>
      </c>
      <c r="L20" s="11">
        <f>VLOOKUP($B20,'BaseLine Data'!$B9:$AQ21,20,FALSE)</f>
        <v>930</v>
      </c>
      <c r="M20" s="47">
        <f>VLOOKUP($B20,'BaseLine Data'!$B9:$AQ21,21,FALSE)</f>
        <v>4.8259169614596908</v>
      </c>
      <c r="N20" s="84">
        <f>VLOOKUP($B20,'BaseLine Data'!$B9:$AQ21,22,FALSE)</f>
        <v>1.2546374367622262</v>
      </c>
      <c r="O20" s="47">
        <f>VLOOKUP($B20,'BaseLine Data'!$B9:$AQ21,25,FALSE)</f>
        <v>0.89194769442532695</v>
      </c>
      <c r="P20" s="47">
        <f>VLOOKUP($B20,'BaseLine Data'!$B9:$AQ21,26,FALSE)</f>
        <v>0.23514538558786346</v>
      </c>
      <c r="Q20" s="47">
        <f>VLOOKUP($B20,'BaseLine Data'!$B9:$AQ21,35,FALSE)</f>
        <v>4.2300000000000004</v>
      </c>
      <c r="R20" s="47">
        <f>VLOOKUP($B20,'BaseLine Data'!$B9:$AQ21,36,FALSE)</f>
        <v>9.76</v>
      </c>
      <c r="S20" s="40">
        <f>VLOOKUP($B20,'BaseLine Data'!$B9:$AQ21,29,FALSE)</f>
        <v>0</v>
      </c>
      <c r="T20" s="40">
        <f>VLOOKUP($B20,'BaseLine Data'!$B9:$AQ21,30,FALSE)</f>
        <v>0</v>
      </c>
      <c r="U20" s="48">
        <f t="shared" si="0"/>
        <v>0</v>
      </c>
      <c r="V20" s="48">
        <f t="shared" si="1"/>
        <v>0</v>
      </c>
      <c r="W20" s="85">
        <f t="shared" si="2"/>
        <v>0</v>
      </c>
      <c r="X20" s="83">
        <f t="shared" si="3"/>
        <v>0</v>
      </c>
      <c r="Y20" s="40">
        <f>VLOOKUP($B20,'BaseLine Data'!$B9:$AQ21,32,FALSE)</f>
        <v>56.66</v>
      </c>
      <c r="Z20" s="48">
        <f>VLOOKUP($B20,'BaseLine Data'!$B9:$AQ21,33,FALSE)</f>
        <v>103.25</v>
      </c>
      <c r="AA20" s="59">
        <f t="shared" si="4"/>
        <v>31.279999999999994</v>
      </c>
      <c r="AB20" s="59">
        <f t="shared" si="5"/>
        <v>44.69</v>
      </c>
      <c r="AC20" s="59">
        <f t="shared" si="8"/>
        <v>31.279999999999994</v>
      </c>
      <c r="AD20" s="59">
        <f t="shared" si="9"/>
        <v>44.69</v>
      </c>
      <c r="AE20" s="83">
        <f t="shared" si="6"/>
        <v>7.9089759797724382</v>
      </c>
      <c r="AF20" s="59">
        <f t="shared" si="7"/>
        <v>11.299620733249052</v>
      </c>
      <c r="AG20" s="59">
        <f t="shared" si="10"/>
        <v>0</v>
      </c>
      <c r="AH20" s="59">
        <f>1000*AB20/J20</f>
        <v>11.299620733249052</v>
      </c>
      <c r="AI20" s="59">
        <f>1000*2*AB20/J20</f>
        <v>22.599241466498103</v>
      </c>
      <c r="AJ20" s="37">
        <f t="shared" si="11"/>
        <v>25.380000000000003</v>
      </c>
      <c r="AK20" s="37">
        <f t="shared" si="12"/>
        <v>58.56</v>
      </c>
      <c r="AL20" s="86">
        <f t="shared" si="13"/>
        <v>0.43283292978208232</v>
      </c>
      <c r="AM20" s="37">
        <f t="shared" si="14"/>
        <v>0</v>
      </c>
      <c r="AN20" s="37">
        <f t="shared" si="15"/>
        <v>0</v>
      </c>
    </row>
    <row r="21" spans="1:43" ht="30">
      <c r="A21" s="10" t="s">
        <v>24</v>
      </c>
      <c r="B21" s="11" t="s">
        <v>38</v>
      </c>
      <c r="C21" s="11">
        <f>VLOOKUP($B21,'BaseLine Data'!$B9:$AQ21,2,FALSE)</f>
        <v>1</v>
      </c>
      <c r="D21" s="11" t="str">
        <f>VLOOKUP($B21,'BaseLine Data'!$B9:$AQ21,3,FALSE)</f>
        <v>Gloucester</v>
      </c>
      <c r="E21" s="11">
        <f>VLOOKUP($B21,'BaseLine Data'!$B9:$AQ21,4,FALSE)</f>
        <v>2171</v>
      </c>
      <c r="F21" s="11">
        <f>VLOOKUP($B21,'BaseLine Data'!$B9:$AQ21,2,FALSE)</f>
        <v>1</v>
      </c>
      <c r="G21" s="11">
        <f>VLOOKUP($B21,'BaseLine Data'!$B9:$AQ21,6,FALSE)</f>
        <v>2</v>
      </c>
      <c r="H21" s="11">
        <f>VLOOKUP($B21,'BaseLine Data'!$B9:$AQ21,7,FALSE)</f>
        <v>1920</v>
      </c>
      <c r="I21" s="11">
        <f>VLOOKUP($B21,'BaseLine Data'!$B9:$AQ21,13,FALSE)</f>
        <v>2171</v>
      </c>
      <c r="J21" s="11">
        <f>VLOOKUP($B21,'BaseLine Data'!$B9:$AQ21,14,FALSE)</f>
        <v>2424</v>
      </c>
      <c r="K21" s="11">
        <f>VLOOKUP($B21,'BaseLine Data'!$B9:$AQ21,19,FALSE)</f>
        <v>2258</v>
      </c>
      <c r="L21" s="11">
        <f>VLOOKUP($B21,'BaseLine Data'!$B9:$AQ21,20,FALSE)</f>
        <v>235</v>
      </c>
      <c r="M21" s="47" t="e">
        <f>VLOOKUP($B21,'BaseLine Data'!$B9:$AQ21,21,FALSE)</f>
        <v>#DIV/0!</v>
      </c>
      <c r="N21" s="84">
        <f>VLOOKUP($B21,'BaseLine Data'!$B9:$AQ21,22,FALSE)</f>
        <v>0.60554004724071286</v>
      </c>
      <c r="O21" s="47">
        <f>VLOOKUP($B21,'BaseLine Data'!$B9:$AQ21,25,FALSE)</f>
        <v>1.0400736987563335</v>
      </c>
      <c r="P21" s="47">
        <f>VLOOKUP($B21,'BaseLine Data'!$B9:$AQ21,26,FALSE)</f>
        <v>9.6947194719471941E-2</v>
      </c>
      <c r="Q21" s="47">
        <f>VLOOKUP($B21,'BaseLine Data'!$B9:$AQ21,35,FALSE)</f>
        <v>2.4700000000000002</v>
      </c>
      <c r="R21" s="47">
        <f>VLOOKUP($B21,'BaseLine Data'!$B9:$AQ21,36,FALSE)</f>
        <v>8.24</v>
      </c>
      <c r="S21" s="40">
        <f>VLOOKUP($B21,'BaseLine Data'!$B9:$AQ21,29,FALSE)</f>
        <v>0</v>
      </c>
      <c r="T21" s="40">
        <f>VLOOKUP($B21,'BaseLine Data'!$B9:$AQ21,30,FALSE)</f>
        <v>0</v>
      </c>
      <c r="U21" s="48">
        <f t="shared" si="0"/>
        <v>0</v>
      </c>
      <c r="V21" s="48">
        <f t="shared" si="1"/>
        <v>0</v>
      </c>
      <c r="W21" s="85">
        <f t="shared" si="2"/>
        <v>0</v>
      </c>
      <c r="X21" s="83">
        <f t="shared" si="3"/>
        <v>0</v>
      </c>
      <c r="Y21" s="40">
        <f>VLOOKUP($B21,'BaseLine Data'!$B9:$AQ21,32,FALSE)</f>
        <v>19.55</v>
      </c>
      <c r="Z21" s="48">
        <f>VLOOKUP($B21,'BaseLine Data'!$B9:$AQ21,33,FALSE)</f>
        <v>65.28</v>
      </c>
      <c r="AA21" s="59">
        <f t="shared" si="4"/>
        <v>4.7300000000000004</v>
      </c>
      <c r="AB21" s="59">
        <f t="shared" si="5"/>
        <v>15.840000000000003</v>
      </c>
      <c r="AC21" s="59">
        <f t="shared" si="8"/>
        <v>4.7300000000000004</v>
      </c>
      <c r="AD21" s="59">
        <f t="shared" si="9"/>
        <v>15.840000000000003</v>
      </c>
      <c r="AE21" s="83">
        <f t="shared" si="6"/>
        <v>1.9513201320132014</v>
      </c>
      <c r="AF21" s="59">
        <f t="shared" si="7"/>
        <v>6.534653465346536</v>
      </c>
      <c r="AG21" s="59">
        <f t="shared" si="10"/>
        <v>0</v>
      </c>
      <c r="AH21" s="59">
        <f>1000*AB21/J21</f>
        <v>6.534653465346536</v>
      </c>
      <c r="AI21" s="59">
        <f>1000*2*AB21/J21</f>
        <v>13.069306930693072</v>
      </c>
      <c r="AJ21" s="37">
        <f t="shared" si="11"/>
        <v>14.82</v>
      </c>
      <c r="AK21" s="37">
        <f t="shared" si="12"/>
        <v>49.44</v>
      </c>
      <c r="AL21" s="86">
        <f t="shared" si="13"/>
        <v>0.24264705882352947</v>
      </c>
      <c r="AM21" s="37">
        <f t="shared" si="14"/>
        <v>0</v>
      </c>
      <c r="AN21" s="37">
        <f t="shared" si="15"/>
        <v>0</v>
      </c>
    </row>
    <row r="22" spans="1:43">
      <c r="X22" s="37">
        <f>STDEV(X9:X17)</f>
        <v>6.7309941634369252</v>
      </c>
    </row>
    <row r="23" spans="1:43">
      <c r="B23" s="39"/>
      <c r="J23" s="38"/>
      <c r="L23" s="37"/>
      <c r="M23" s="35"/>
      <c r="N23" s="37"/>
      <c r="P23" s="35"/>
      <c r="Q23" s="35"/>
      <c r="R23" s="35"/>
      <c r="X23" s="59">
        <f>AVERAGEA(X9:X17)</f>
        <v>16.594577204112316</v>
      </c>
      <c r="AB23" s="59"/>
      <c r="AC23" s="59"/>
      <c r="AD23" s="59"/>
      <c r="AF23" s="59">
        <f>AVERAGEA(AF9:AF21)</f>
        <v>6.9337363391683899</v>
      </c>
      <c r="AG23" s="59"/>
      <c r="AH23" s="59">
        <f>AVERAGEA(AH18:AH21)</f>
        <v>7.2290441587646281</v>
      </c>
      <c r="AI23" s="59">
        <f>AVERAGEA(AI18:AI21,X9:X17)</f>
        <v>15.937196008240607</v>
      </c>
    </row>
    <row r="24" spans="1:43">
      <c r="B24" s="39"/>
      <c r="L24" s="37"/>
      <c r="M24" s="37"/>
      <c r="N24" s="37"/>
    </row>
    <row r="25" spans="1:43">
      <c r="B25" s="39"/>
      <c r="L25" s="37"/>
      <c r="M25" s="35"/>
      <c r="N25" s="37"/>
    </row>
    <row r="26" spans="1:43">
      <c r="B26" s="39"/>
      <c r="L26" s="37"/>
      <c r="M26" s="37"/>
      <c r="N26" s="37"/>
    </row>
  </sheetData>
  <sortState ref="B9:AI21">
    <sortCondition ref="AI9:AI21"/>
  </sortState>
  <dataValidations disablePrompts="1" count="2">
    <dataValidation type="list" allowBlank="1" showInputMessage="1" showErrorMessage="1" sqref="WVF9:WVF21 WLJ9:WLJ21 WBN9:WBN21 VRR9:VRR21 VHV9:VHV21 UXZ9:UXZ21 UOD9:UOD21 UEH9:UEH21 TUL9:TUL21 TKP9:TKP21 TAT9:TAT21 SQX9:SQX21 SHB9:SHB21 RXF9:RXF21 RNJ9:RNJ21 RDN9:RDN21 QTR9:QTR21 QJV9:QJV21 PZZ9:PZZ21 PQD9:PQD21 PGH9:PGH21 OWL9:OWL21 OMP9:OMP21 OCT9:OCT21 NSX9:NSX21 NJB9:NJB21 MZF9:MZF21 MPJ9:MPJ21 MFN9:MFN21 LVR9:LVR21 LLV9:LLV21 LBZ9:LBZ21 KSD9:KSD21 KIH9:KIH21 JYL9:JYL21 JOP9:JOP21 JET9:JET21 IUX9:IUX21 ILB9:ILB21 IBF9:IBF21 HRJ9:HRJ21 HHN9:HHN21 GXR9:GXR21 GNV9:GNV21 GDZ9:GDZ21 FUD9:FUD21 FKH9:FKH21 FAL9:FAL21 EQP9:EQP21 EGT9:EGT21 DWX9:DWX21 DNB9:DNB21 DDF9:DDF21 CTJ9:CTJ21 CJN9:CJN21 BZR9:BZR21 BPV9:BPV21 BFZ9:BFZ21 AWD9:AWD21 AMH9:AMH21 ACL9:ACL21 SP9:SP21 IT9:IT21">
      <formula1>'[1]Project Statistics'!$K$74:$K$79</formula1>
    </dataValidation>
    <dataValidation type="list" allowBlank="1" showInputMessage="1" showErrorMessage="1" sqref="WVG9:WVH21 WLK9:WLL21 WBO9:WBP21 VRS9:VRT21 VHW9:VHX21 UYA9:UYB21 UOE9:UOF21 UEI9:UEJ21 TUM9:TUN21 TKQ9:TKR21 TAU9:TAV21 SQY9:SQZ21 SHC9:SHD21 RXG9:RXH21 RNK9:RNL21 RDO9:RDP21 QTS9:QTT21 QJW9:QJX21 QAA9:QAB21 PQE9:PQF21 PGI9:PGJ21 OWM9:OWN21 OMQ9:OMR21 OCU9:OCV21 NSY9:NSZ21 NJC9:NJD21 MZG9:MZH21 MPK9:MPL21 MFO9:MFP21 LVS9:LVT21 LLW9:LLX21 LCA9:LCB21 KSE9:KSF21 KII9:KIJ21 JYM9:JYN21 JOQ9:JOR21 JEU9:JEV21 IUY9:IUZ21 ILC9:ILD21 IBG9:IBH21 HRK9:HRL21 HHO9:HHP21 GXS9:GXT21 GNW9:GNX21 GEA9:GEB21 FUE9:FUF21 FKI9:FKJ21 FAM9:FAN21 EQQ9:EQR21 EGU9:EGV21 DWY9:DWZ21 DNC9:DND21 DDG9:DDH21 CTK9:CTL21 CJO9:CJP21 BZS9:BZT21 BPW9:BPX21 BGA9:BGB21 AWE9:AWF21 AMI9:AMJ21 ACM9:ACN21 SQ9:SR21 IU9:IV21">
      <formula1>'[1]Project Statistics'!$M$74:$M$75</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dimension ref="A7:AI26"/>
  <sheetViews>
    <sheetView topLeftCell="B5" zoomScale="130" zoomScaleNormal="130" workbookViewId="0">
      <pane xSplit="1" topLeftCell="K1" activePane="topRight" state="frozen"/>
      <selection activeCell="B9" sqref="B9:X21"/>
      <selection pane="topRight" activeCell="AC32" sqref="AC32"/>
    </sheetView>
  </sheetViews>
  <sheetFormatPr defaultRowHeight="15"/>
  <cols>
    <col min="2" max="2" width="11.7109375" customWidth="1"/>
    <col min="3" max="3" width="8.7109375" customWidth="1"/>
    <col min="4" max="4" width="12.7109375" customWidth="1"/>
    <col min="6" max="6" width="11.5703125" customWidth="1"/>
    <col min="13" max="16" width="11.5703125" bestFit="1" customWidth="1"/>
    <col min="17" max="18" width="11.5703125" customWidth="1"/>
    <col min="26" max="26" width="11.5703125" bestFit="1" customWidth="1"/>
    <col min="27" max="31" width="11.5703125" customWidth="1"/>
  </cols>
  <sheetData>
    <row r="7" spans="1:35" ht="150.75" thickBot="1">
      <c r="B7" s="1" t="s">
        <v>0</v>
      </c>
      <c r="C7" s="11" t="str">
        <f>VLOOKUP($B7,'BaseLine Data'!$B7:$AQ21,2,FALSE)</f>
        <v>Number of Housing Units</v>
      </c>
      <c r="D7" s="11" t="str">
        <f>VLOOKUP($B7,'BaseLine Data'!$B7:$AQ21,3,FALSE)</f>
        <v>Location</v>
      </c>
      <c r="E7" s="11" t="str">
        <f>VLOOKUP($B7,'BaseLine Data'!$B7:$AQ21,4,FALSE)</f>
        <v>Pre-DER Cond. Floor Area
(sq.ft.)</v>
      </c>
      <c r="F7" s="11" t="str">
        <f>VLOOKUP($B7,'BaseLine Data'!$B7:$AQ21,2,FALSE)</f>
        <v>Number of Housing Units</v>
      </c>
      <c r="G7" s="11" t="str">
        <f>VLOOKUP($B7,'BaseLine Data'!$B7:$AQ21,6,FALSE)</f>
        <v>Stories</v>
      </c>
      <c r="H7" s="11" t="str">
        <f>VLOOKUP($B7,'BaseLine Data'!$B7:$AQ21,7,FALSE)</f>
        <v>Approx. Year Built</v>
      </c>
      <c r="I7" s="11" t="str">
        <f>VLOOKUP($B7,'BaseLine Data'!$B7:$AQ21,13,FALSE)</f>
        <v>Pre-DER Cond. Floor Area
(sq.ft.)</v>
      </c>
      <c r="J7" s="11" t="str">
        <f>VLOOKUP($B7,'BaseLine Data'!$B7:$AQ21,14,FALSE)</f>
        <v>Post-DER Con. Floor Area        (sq.ft.)</v>
      </c>
      <c r="K7" s="11" t="str">
        <f>VLOOKUP($B7,'BaseLine Data'!$B7:$AQ21,19,FALSE)</f>
        <v>Pre-DER   CFM 50</v>
      </c>
      <c r="L7" s="11" t="str">
        <f>VLOOKUP($B7,'BaseLine Data'!$B7:$AQ21,20,FALSE)</f>
        <v>Post-DER CFM 50</v>
      </c>
      <c r="M7" s="11" t="str">
        <f>VLOOKUP($B7,'BaseLine Data'!$B7:$AQ21,21,FALSE)</f>
        <v xml:space="preserve">Pre-DER   ACH 50 </v>
      </c>
      <c r="N7" s="11" t="str">
        <f>VLOOKUP($B7,'BaseLine Data'!$B7:$AQ21,22,FALSE)</f>
        <v xml:space="preserve">Post-DER ACH 50 </v>
      </c>
      <c r="O7" s="11" t="str">
        <f>VLOOKUP($B7,'BaseLine Data'!$B7:$AQ21,25,FALSE)</f>
        <v>Pre-DER CFM/sf Conditioned floor area</v>
      </c>
      <c r="P7" s="11" t="str">
        <f>VLOOKUP($B7,'BaseLine Data'!$B7:$AQ21,26,FALSE)</f>
        <v>Post-DER CFM/sf Conditioned floor area</v>
      </c>
      <c r="Q7" s="11" t="str">
        <f>VLOOKUP($B7,'BaseLine Data'!$B7:$AQ21,35,FALSE)</f>
        <v>Min monthly site MMBtu</v>
      </c>
      <c r="R7" s="11" t="str">
        <f>VLOOKUP($B7,'BaseLine Data'!$B7:$AQ21,36,FALSE)</f>
        <v>Min monthly source MMBtu</v>
      </c>
      <c r="S7" s="11" t="str">
        <f>VLOOKUP($B7,'BaseLine Data'!$B7:$AQ21,29,FALSE)</f>
        <v>12 months site MMBtu</v>
      </c>
      <c r="T7" s="11" t="str">
        <f>VLOOKUP($B7,'BaseLine Data'!$B7:$AQ21,30,FALSE)</f>
        <v>12 months source MMBtu</v>
      </c>
      <c r="U7" s="11" t="s">
        <v>56</v>
      </c>
      <c r="V7" s="11" t="s">
        <v>57</v>
      </c>
      <c r="W7" s="58" t="s">
        <v>61</v>
      </c>
      <c r="X7" s="58" t="s">
        <v>62</v>
      </c>
      <c r="Y7" s="11" t="str">
        <f>VLOOKUP($B7,'BaseLine Data'!$B7:$AQ21,32,FALSE)</f>
        <v>6 months site MMBtu</v>
      </c>
      <c r="Z7" s="11" t="str">
        <f>VLOOKUP($B7,'BaseLine Data'!$B7:$AQ21,33,FALSE)</f>
        <v>6 months source MMBtu</v>
      </c>
      <c r="AA7" s="11" t="s">
        <v>55</v>
      </c>
      <c r="AB7" s="11" t="s">
        <v>58</v>
      </c>
      <c r="AC7" s="58" t="s">
        <v>60</v>
      </c>
      <c r="AD7" s="58" t="s">
        <v>59</v>
      </c>
      <c r="AE7" s="58" t="s">
        <v>196</v>
      </c>
      <c r="AF7" s="56" t="s">
        <v>91</v>
      </c>
      <c r="AG7" s="56" t="s">
        <v>63</v>
      </c>
      <c r="AH7" s="56" t="s">
        <v>64</v>
      </c>
      <c r="AI7" s="56" t="s">
        <v>145</v>
      </c>
    </row>
    <row r="8" spans="1:35" ht="71.25">
      <c r="A8" s="9"/>
      <c r="B8" s="49" t="s">
        <v>23</v>
      </c>
      <c r="C8" s="50"/>
      <c r="D8" s="50"/>
      <c r="E8" s="50"/>
      <c r="F8" s="50"/>
      <c r="G8" s="50"/>
      <c r="H8" s="50"/>
      <c r="I8" s="51"/>
      <c r="J8" s="52"/>
      <c r="K8" s="53"/>
      <c r="L8" s="53"/>
      <c r="M8" s="54"/>
      <c r="N8" s="41"/>
      <c r="O8" s="53"/>
      <c r="P8" s="41"/>
      <c r="Q8" s="57"/>
      <c r="R8" s="57"/>
    </row>
    <row r="9" spans="1:35" ht="30">
      <c r="A9" s="10" t="s">
        <v>24</v>
      </c>
      <c r="B9" s="11" t="s">
        <v>34</v>
      </c>
      <c r="C9" s="11">
        <f>VLOOKUP($B9,'BaseLine Data'!$B9:$AQ21,2,FALSE)</f>
        <v>1</v>
      </c>
      <c r="D9" s="11" t="str">
        <f>VLOOKUP($B9,'BaseLine Data'!$B9:$AQ21,3,FALSE)</f>
        <v>Northampton</v>
      </c>
      <c r="E9" s="11">
        <f>VLOOKUP($B9,'BaseLine Data'!$B9:$AQ21,4,FALSE)</f>
        <v>2032</v>
      </c>
      <c r="F9" s="11">
        <f>VLOOKUP($B9,'BaseLine Data'!$B9:$AQ21,2,FALSE)</f>
        <v>1</v>
      </c>
      <c r="G9" s="11">
        <f>VLOOKUP($B9,'BaseLine Data'!$B9:$AQ21,6,FALSE)</f>
        <v>1</v>
      </c>
      <c r="H9" s="11">
        <f>VLOOKUP($B9,'BaseLine Data'!$B9:$AQ21,7,FALSE)</f>
        <v>1859</v>
      </c>
      <c r="I9" s="11">
        <f>VLOOKUP($B9,'BaseLine Data'!$B9:$AQ21,13,FALSE)</f>
        <v>2032</v>
      </c>
      <c r="J9" s="11">
        <f>VLOOKUP($B9,'BaseLine Data'!$B9:$AQ21,14,FALSE)</f>
        <v>2747</v>
      </c>
      <c r="K9" s="11">
        <f>VLOOKUP($B9,'BaseLine Data'!$B9:$AQ21,19,FALSE)</f>
        <v>6155</v>
      </c>
      <c r="L9" s="11">
        <f>VLOOKUP($B9,'BaseLine Data'!$B9:$AQ21,20,FALSE)</f>
        <v>473</v>
      </c>
      <c r="M9" s="47">
        <f>VLOOKUP($B9,'BaseLine Data'!$B9:$AQ21,21,FALSE)</f>
        <v>0</v>
      </c>
      <c r="N9" s="47">
        <f>VLOOKUP($B9,'BaseLine Data'!$B9:$AQ21,22,FALSE)</f>
        <v>0.81966266173752311</v>
      </c>
      <c r="O9" s="47">
        <f>VLOOKUP($B9,'BaseLine Data'!$B9:$AQ21,25,FALSE)</f>
        <v>3.0290354330708662</v>
      </c>
      <c r="P9" s="47">
        <f>VLOOKUP($B9,'BaseLine Data'!$B9:$AQ21,26,FALSE)</f>
        <v>0.17218784128139789</v>
      </c>
      <c r="Q9" s="47">
        <f>VLOOKUP($B9,'BaseLine Data'!$B9:$AQ21,35,FALSE)</f>
        <v>1.61</v>
      </c>
      <c r="R9" s="47">
        <f>VLOOKUP($B9,'BaseLine Data'!$B9:$AQ21,36,FALSE)</f>
        <v>5.37</v>
      </c>
      <c r="S9" s="40">
        <f>VLOOKUP($B9,'BaseLine Data'!$B9:$AQ21,29,FALSE)</f>
        <v>26.27</v>
      </c>
      <c r="T9" s="40">
        <f>VLOOKUP($B9,'BaseLine Data'!$B9:$AQ21,30,FALSE)</f>
        <v>87.74</v>
      </c>
      <c r="U9" s="48">
        <f t="shared" ref="U9:U21" si="0">S9 - 12*MIN(Q9,S9)</f>
        <v>6.9499999999999993</v>
      </c>
      <c r="V9" s="48">
        <f t="shared" ref="V9:V21" si="1">T9 - 12*MIN(R9,T9)</f>
        <v>23.299999999999997</v>
      </c>
      <c r="W9" s="59">
        <f t="shared" ref="W9:W21" si="2">1000*U9/J9</f>
        <v>2.530032763014197</v>
      </c>
      <c r="X9" s="59">
        <f t="shared" ref="X9:X21" si="3">1000*V9/J9</f>
        <v>8.4819803421914806</v>
      </c>
      <c r="Y9" s="40">
        <f>VLOOKUP($B9,'BaseLine Data'!$B9:$AQ21,32,FALSE)</f>
        <v>12.38</v>
      </c>
      <c r="Z9" s="48">
        <f>VLOOKUP($B9,'BaseLine Data'!$B9:$AQ21,33,FALSE)</f>
        <v>41.35</v>
      </c>
      <c r="AA9" s="59">
        <f t="shared" ref="AA9:AA21" si="4">Y9-6*Q9</f>
        <v>2.7200000000000006</v>
      </c>
      <c r="AB9" s="59">
        <f t="shared" ref="AB9:AB21" si="5">Z9-6*R9</f>
        <v>9.1300000000000026</v>
      </c>
      <c r="AC9" s="83">
        <f t="shared" ref="AC9:AC21" si="6">1000*AA9/J9</f>
        <v>0.9901710957408083</v>
      </c>
      <c r="AD9" s="83">
        <f t="shared" ref="AD9:AD21" si="7">1000*AB9/J9</f>
        <v>3.3236257735711692</v>
      </c>
      <c r="AE9" s="83">
        <f t="shared" ref="AE9:AE22" si="8">IF(X9&lt;&gt;0,X9-AD9,0)</f>
        <v>5.1583545686203109</v>
      </c>
      <c r="AF9">
        <v>2</v>
      </c>
      <c r="AG9">
        <v>4</v>
      </c>
      <c r="AH9">
        <v>3</v>
      </c>
      <c r="AI9">
        <v>3</v>
      </c>
    </row>
    <row r="10" spans="1:35">
      <c r="A10" s="10" t="s">
        <v>24</v>
      </c>
      <c r="B10" s="17" t="s">
        <v>29</v>
      </c>
      <c r="C10" s="11">
        <f>VLOOKUP($B10,'BaseLine Data'!$B9:$AQ21,2,FALSE)</f>
        <v>1</v>
      </c>
      <c r="D10" s="11" t="str">
        <f>VLOOKUP($B10,'BaseLine Data'!$B9:$AY21,3,FALSE)</f>
        <v>Quincy</v>
      </c>
      <c r="E10" s="11">
        <f>VLOOKUP($B10,'BaseLine Data'!$B9:$AY21,4,FALSE)</f>
        <v>1808</v>
      </c>
      <c r="F10" s="11">
        <f>VLOOKUP($B10,'BaseLine Data'!$B9:$AQ21,2,FALSE)</f>
        <v>1</v>
      </c>
      <c r="G10" s="11">
        <f>VLOOKUP($B10,'BaseLine Data'!$B9:$AQ21,6,FALSE)</f>
        <v>1.5</v>
      </c>
      <c r="H10" s="11">
        <f>VLOOKUP($B10,'BaseLine Data'!$B9:$AQ21,7,FALSE)</f>
        <v>1905</v>
      </c>
      <c r="I10" s="11">
        <f>VLOOKUP($B10,'BaseLine Data'!$B9:$AQ21,13,FALSE)</f>
        <v>3484</v>
      </c>
      <c r="J10" s="11">
        <f>VLOOKUP($B10,'BaseLine Data'!$B9:$AQ21,14,FALSE)</f>
        <v>4576</v>
      </c>
      <c r="K10" s="11">
        <f>VLOOKUP($B10,'BaseLine Data'!$B9:$AQ21,19,FALSE)</f>
        <v>5050</v>
      </c>
      <c r="L10" s="11">
        <f>VLOOKUP($B10,'BaseLine Data'!$B9:$AQ21,20,FALSE)</f>
        <v>762</v>
      </c>
      <c r="M10" s="47">
        <f>VLOOKUP($B10,'BaseLine Data'!$B9:$AQ21,21,FALSE)</f>
        <v>18.53</v>
      </c>
      <c r="N10" s="47">
        <f>VLOOKUP($B10,'BaseLine Data'!$B9:$AQ21,22,FALSE)</f>
        <v>1.2579100863919002</v>
      </c>
      <c r="O10" s="47">
        <f>VLOOKUP($B10,'BaseLine Data'!$B9:$AQ21,25,FALSE)</f>
        <v>1.4494833524684272</v>
      </c>
      <c r="P10" s="47">
        <f>VLOOKUP($B10,'BaseLine Data'!$B9:$AQ21,26,FALSE)</f>
        <v>0.16652097902097901</v>
      </c>
      <c r="Q10" s="47">
        <f>VLOOKUP($B10,'BaseLine Data'!$B9:$AQ21,35,FALSE)</f>
        <v>2.92</v>
      </c>
      <c r="R10" s="47">
        <f>VLOOKUP($B10,'BaseLine Data'!$B9:$AQ21,36,FALSE)</f>
        <v>8.16</v>
      </c>
      <c r="S10" s="40">
        <f>VLOOKUP($B10,'BaseLine Data'!$B9:$AQ21,29,FALSE)</f>
        <v>59.97</v>
      </c>
      <c r="T10" s="40">
        <f>VLOOKUP($B10,'BaseLine Data'!$B9:$AQ21,30,FALSE)</f>
        <v>140.22</v>
      </c>
      <c r="U10" s="48">
        <f t="shared" si="0"/>
        <v>24.93</v>
      </c>
      <c r="V10" s="48">
        <f t="shared" si="1"/>
        <v>42.3</v>
      </c>
      <c r="W10" s="59">
        <f t="shared" si="2"/>
        <v>5.4479895104895109</v>
      </c>
      <c r="X10" s="59">
        <f t="shared" si="3"/>
        <v>9.2438811188811183</v>
      </c>
      <c r="Y10" s="40">
        <f>VLOOKUP($B10,'BaseLine Data'!$B9:$AQ21,32,FALSE)</f>
        <v>29.67</v>
      </c>
      <c r="Z10" s="48">
        <f>VLOOKUP($B10,'BaseLine Data'!$B9:$AQ21,33,FALSE)</f>
        <v>69.75</v>
      </c>
      <c r="AA10" s="59">
        <f t="shared" si="4"/>
        <v>12.150000000000002</v>
      </c>
      <c r="AB10" s="59">
        <f t="shared" si="5"/>
        <v>20.79</v>
      </c>
      <c r="AC10" s="83">
        <f t="shared" si="6"/>
        <v>2.6551573426573429</v>
      </c>
      <c r="AD10" s="83">
        <f t="shared" si="7"/>
        <v>4.5432692307692308</v>
      </c>
      <c r="AE10" s="83">
        <f t="shared" si="8"/>
        <v>4.7006118881118875</v>
      </c>
      <c r="AF10">
        <v>2</v>
      </c>
      <c r="AG10">
        <v>4</v>
      </c>
      <c r="AH10">
        <v>3</v>
      </c>
      <c r="AI10">
        <v>3</v>
      </c>
    </row>
    <row r="11" spans="1:35" ht="30">
      <c r="A11" s="10" t="s">
        <v>24</v>
      </c>
      <c r="B11" s="11" t="s">
        <v>26</v>
      </c>
      <c r="C11" s="11">
        <f>VLOOKUP($B11,'BaseLine Data'!$B9:$AQ21,2,FALSE)</f>
        <v>2</v>
      </c>
      <c r="D11" s="11" t="str">
        <f>VLOOKUP($B11,'BaseLine Data'!$B9:$AQ21,3,FALSE)</f>
        <v>Belmont</v>
      </c>
      <c r="E11" s="11">
        <f>VLOOKUP($B11,'BaseLine Data'!$B9:$AQ21,4,FALSE)</f>
        <v>2728</v>
      </c>
      <c r="F11" s="11">
        <f>VLOOKUP($B11,'BaseLine Data'!$B9:$AQ21,2,FALSE)</f>
        <v>2</v>
      </c>
      <c r="G11" s="11">
        <f>VLOOKUP($B11,'BaseLine Data'!$B9:$AQ21,6,FALSE)</f>
        <v>3</v>
      </c>
      <c r="H11" s="11">
        <f>VLOOKUP($B11,'BaseLine Data'!$B9:$AQ21,7,FALSE)</f>
        <v>1925</v>
      </c>
      <c r="I11" s="11">
        <f>VLOOKUP($B11,'BaseLine Data'!$B9:$AQ21,13,FALSE)</f>
        <v>3417</v>
      </c>
      <c r="J11" s="11">
        <f>VLOOKUP($B11,'BaseLine Data'!$B9:$AQ21,14,FALSE)</f>
        <v>4768</v>
      </c>
      <c r="K11" s="11">
        <f>VLOOKUP($B11,'BaseLine Data'!$B9:$AQ21,19,FALSE)</f>
        <v>5700</v>
      </c>
      <c r="L11" s="11">
        <f>VLOOKUP($B11,'BaseLine Data'!$B9:$AQ21,20,FALSE)</f>
        <v>590</v>
      </c>
      <c r="M11" s="47">
        <f>VLOOKUP($B11,'BaseLine Data'!$B9:$AQ21,21,FALSE)</f>
        <v>9.2687950566426363</v>
      </c>
      <c r="N11" s="47">
        <f>VLOOKUP($B11,'BaseLine Data'!$B9:$AQ21,22,FALSE)</f>
        <v>0.74204502578292031</v>
      </c>
      <c r="O11" s="47">
        <f>VLOOKUP($B11,'BaseLine Data'!$B9:$AQ21,25,FALSE)</f>
        <v>1.6681299385425812</v>
      </c>
      <c r="P11" s="47">
        <f>VLOOKUP($B11,'BaseLine Data'!$B9:$AQ21,26,FALSE)</f>
        <v>0.12374161073825503</v>
      </c>
      <c r="Q11" s="47">
        <f>VLOOKUP($B11,'BaseLine Data'!$B9:$AQ21,35,FALSE)</f>
        <v>2.46</v>
      </c>
      <c r="R11" s="47">
        <f>VLOOKUP($B11,'BaseLine Data'!$B9:$AQ21,36,FALSE)</f>
        <v>8.11</v>
      </c>
      <c r="S11" s="40">
        <f>VLOOKUP($B11,'BaseLine Data'!$B9:$AQ21,29,FALSE)</f>
        <v>59.36</v>
      </c>
      <c r="T11" s="40">
        <f>VLOOKUP($B11,'BaseLine Data'!$B9:$AQ21,30,FALSE)</f>
        <v>151.47999999999999</v>
      </c>
      <c r="U11" s="48">
        <f t="shared" si="0"/>
        <v>29.84</v>
      </c>
      <c r="V11" s="48">
        <f t="shared" si="1"/>
        <v>54.16</v>
      </c>
      <c r="W11" s="59">
        <f t="shared" si="2"/>
        <v>6.2583892617449663</v>
      </c>
      <c r="X11" s="59">
        <f t="shared" si="3"/>
        <v>11.359060402684564</v>
      </c>
      <c r="Y11" s="40">
        <f>VLOOKUP($B11,'BaseLine Data'!$B9:$AQ21,32,FALSE)</f>
        <v>28.94</v>
      </c>
      <c r="Z11" s="48">
        <f>VLOOKUP($B11,'BaseLine Data'!$B9:$AQ21,33,FALSE)</f>
        <v>77.39</v>
      </c>
      <c r="AA11" s="59">
        <f t="shared" si="4"/>
        <v>14.180000000000001</v>
      </c>
      <c r="AB11" s="59">
        <f t="shared" si="5"/>
        <v>28.730000000000004</v>
      </c>
      <c r="AC11" s="83">
        <f t="shared" si="6"/>
        <v>2.9739932885906044</v>
      </c>
      <c r="AD11" s="83">
        <f t="shared" si="7"/>
        <v>6.0255872483221484</v>
      </c>
      <c r="AE11" s="83">
        <f t="shared" si="8"/>
        <v>5.3334731543624159</v>
      </c>
      <c r="AF11">
        <v>2</v>
      </c>
      <c r="AG11">
        <v>4</v>
      </c>
      <c r="AH11">
        <v>1</v>
      </c>
      <c r="AI11">
        <v>2</v>
      </c>
    </row>
    <row r="12" spans="1:35" ht="30">
      <c r="A12" s="10" t="s">
        <v>31</v>
      </c>
      <c r="B12" s="11" t="s">
        <v>38</v>
      </c>
      <c r="C12" s="11">
        <f>VLOOKUP($B12,'BaseLine Data'!$B9:$AQ21,2,FALSE)</f>
        <v>1</v>
      </c>
      <c r="D12" s="11" t="str">
        <f>VLOOKUP($B12,'BaseLine Data'!$B9:$AQ21,3,FALSE)</f>
        <v>Gloucester</v>
      </c>
      <c r="E12" s="11">
        <f>VLOOKUP($B12,'BaseLine Data'!$B9:$AQ21,4,FALSE)</f>
        <v>2171</v>
      </c>
      <c r="F12" s="11">
        <f>VLOOKUP($B12,'BaseLine Data'!$B9:$AQ21,2,FALSE)</f>
        <v>1</v>
      </c>
      <c r="G12" s="11">
        <f>VLOOKUP($B12,'BaseLine Data'!$B9:$AQ21,6,FALSE)</f>
        <v>2</v>
      </c>
      <c r="H12" s="11">
        <f>VLOOKUP($B12,'BaseLine Data'!$B9:$AQ21,7,FALSE)</f>
        <v>1920</v>
      </c>
      <c r="I12" s="11">
        <f>VLOOKUP($B12,'BaseLine Data'!$B9:$AQ21,13,FALSE)</f>
        <v>2171</v>
      </c>
      <c r="J12" s="11">
        <f>VLOOKUP($B12,'BaseLine Data'!$B9:$AQ21,14,FALSE)</f>
        <v>2424</v>
      </c>
      <c r="K12" s="11">
        <f>VLOOKUP($B12,'BaseLine Data'!$B9:$AQ21,19,FALSE)</f>
        <v>2258</v>
      </c>
      <c r="L12" s="11">
        <f>VLOOKUP($B12,'BaseLine Data'!$B9:$AQ21,20,FALSE)</f>
        <v>235</v>
      </c>
      <c r="M12" s="47" t="e">
        <f>VLOOKUP($B12,'BaseLine Data'!$B9:$AQ21,21,FALSE)</f>
        <v>#DIV/0!</v>
      </c>
      <c r="N12" s="47">
        <f>VLOOKUP($B12,'BaseLine Data'!$B9:$AQ21,22,FALSE)</f>
        <v>0.60554004724071286</v>
      </c>
      <c r="O12" s="47">
        <f>VLOOKUP($B12,'BaseLine Data'!$B9:$AQ21,25,FALSE)</f>
        <v>1.0400736987563335</v>
      </c>
      <c r="P12" s="47">
        <f>VLOOKUP($B12,'BaseLine Data'!$B9:$AQ21,26,FALSE)</f>
        <v>9.6947194719471941E-2</v>
      </c>
      <c r="Q12" s="47">
        <f>VLOOKUP($B12,'BaseLine Data'!$B9:$AQ21,35,FALSE)</f>
        <v>2.4700000000000002</v>
      </c>
      <c r="R12" s="47">
        <f>VLOOKUP($B12,'BaseLine Data'!$B9:$AQ21,36,FALSE)</f>
        <v>8.24</v>
      </c>
      <c r="S12" s="40">
        <f>VLOOKUP($B12,'BaseLine Data'!$B9:$AQ21,29,FALSE)</f>
        <v>0</v>
      </c>
      <c r="T12" s="40">
        <f>VLOOKUP($B12,'BaseLine Data'!$B9:$AQ21,30,FALSE)</f>
        <v>0</v>
      </c>
      <c r="U12" s="48">
        <f t="shared" si="0"/>
        <v>0</v>
      </c>
      <c r="V12" s="48">
        <f t="shared" si="1"/>
        <v>0</v>
      </c>
      <c r="W12" s="59">
        <f t="shared" si="2"/>
        <v>0</v>
      </c>
      <c r="X12" s="59">
        <f t="shared" si="3"/>
        <v>0</v>
      </c>
      <c r="Y12" s="40">
        <f>VLOOKUP($B12,'BaseLine Data'!$B9:$AQ21,32,FALSE)</f>
        <v>19.55</v>
      </c>
      <c r="Z12" s="48">
        <f>VLOOKUP($B12,'BaseLine Data'!$B9:$AQ21,33,FALSE)</f>
        <v>65.28</v>
      </c>
      <c r="AA12" s="59">
        <f t="shared" si="4"/>
        <v>4.7300000000000004</v>
      </c>
      <c r="AB12" s="59">
        <f t="shared" si="5"/>
        <v>15.840000000000003</v>
      </c>
      <c r="AC12" s="83">
        <f t="shared" si="6"/>
        <v>1.9513201320132014</v>
      </c>
      <c r="AD12" s="83">
        <f t="shared" si="7"/>
        <v>6.534653465346536</v>
      </c>
      <c r="AE12" s="83">
        <f t="shared" si="8"/>
        <v>0</v>
      </c>
      <c r="AF12">
        <v>2</v>
      </c>
      <c r="AG12">
        <v>2</v>
      </c>
      <c r="AH12">
        <v>1</v>
      </c>
      <c r="AI12">
        <v>3</v>
      </c>
    </row>
    <row r="13" spans="1:35">
      <c r="A13" s="10" t="s">
        <v>24</v>
      </c>
      <c r="B13" s="11" t="s">
        <v>32</v>
      </c>
      <c r="C13" s="11">
        <f>VLOOKUP($B13,'BaseLine Data'!$B9:$AQ21,2,FALSE)</f>
        <v>1</v>
      </c>
      <c r="D13" s="11" t="str">
        <f>VLOOKUP($B13,'BaseLine Data'!$B9:$AQ21,3,FALSE)</f>
        <v>Newton</v>
      </c>
      <c r="E13" s="11">
        <f>VLOOKUP($B13,'BaseLine Data'!$B9:$AQ21,4,FALSE)</f>
        <v>1724</v>
      </c>
      <c r="F13" s="11">
        <f>VLOOKUP($B13,'BaseLine Data'!$B9:$AQ21,2,FALSE)</f>
        <v>1</v>
      </c>
      <c r="G13" s="11">
        <f>VLOOKUP($B13,'BaseLine Data'!$B9:$AQ21,6,FALSE)</f>
        <v>1</v>
      </c>
      <c r="H13" s="11">
        <f>VLOOKUP($B13,'BaseLine Data'!$B9:$AQ21,7,FALSE)</f>
        <v>1930</v>
      </c>
      <c r="I13" s="11">
        <f>VLOOKUP($B13,'BaseLine Data'!$B9:$AQ21,13,FALSE)</f>
        <v>1815</v>
      </c>
      <c r="J13" s="11">
        <f>VLOOKUP($B13,'BaseLine Data'!$B9:$AQ21,14,FALSE)</f>
        <v>2199</v>
      </c>
      <c r="K13" s="11">
        <f>VLOOKUP($B13,'BaseLine Data'!$B9:$AQ21,19,FALSE)</f>
        <v>3199</v>
      </c>
      <c r="L13" s="11">
        <f>VLOOKUP($B13,'BaseLine Data'!$B9:$AQ21,20,FALSE)</f>
        <v>1299</v>
      </c>
      <c r="M13" s="47">
        <f>VLOOKUP($B13,'BaseLine Data'!$B9:$AQ21,21,FALSE)</f>
        <v>10.192767245499441</v>
      </c>
      <c r="N13" s="47">
        <f>VLOOKUP($B13,'BaseLine Data'!$B9:$AQ21,22,FALSE)</f>
        <v>3.558254200146092</v>
      </c>
      <c r="O13" s="47">
        <f>VLOOKUP($B13,'BaseLine Data'!$B9:$AQ21,25,FALSE)</f>
        <v>1.7625344352617081</v>
      </c>
      <c r="P13" s="47">
        <f>VLOOKUP($B13,'BaseLine Data'!$B9:$AQ21,26,FALSE)</f>
        <v>0.59072305593451568</v>
      </c>
      <c r="Q13" s="47">
        <f>VLOOKUP($B13,'BaseLine Data'!$B9:$AQ21,35,FALSE)</f>
        <v>2.59</v>
      </c>
      <c r="R13" s="47">
        <f>VLOOKUP($B13,'BaseLine Data'!$B9:$AQ21,36,FALSE)</f>
        <v>6.25</v>
      </c>
      <c r="S13" s="40">
        <f>VLOOKUP($B13,'BaseLine Data'!$B9:$AQ21,29,FALSE)</f>
        <v>66.16</v>
      </c>
      <c r="T13" s="40">
        <f>VLOOKUP($B13,'BaseLine Data'!$B9:$AQ21,30,FALSE)</f>
        <v>125.36</v>
      </c>
      <c r="U13" s="48">
        <f t="shared" si="0"/>
        <v>35.08</v>
      </c>
      <c r="V13" s="48">
        <f t="shared" si="1"/>
        <v>50.36</v>
      </c>
      <c r="W13" s="59">
        <f t="shared" si="2"/>
        <v>15.952705775352433</v>
      </c>
      <c r="X13" s="59">
        <f t="shared" si="3"/>
        <v>22.901318781264212</v>
      </c>
      <c r="Y13" s="40">
        <f>VLOOKUP($B13,'BaseLine Data'!$B9:$AQ21,32,FALSE)</f>
        <v>28.33</v>
      </c>
      <c r="Z13" s="48">
        <f>VLOOKUP($B13,'BaseLine Data'!$B9:$AQ21,33,FALSE)</f>
        <v>55.42</v>
      </c>
      <c r="AA13" s="59">
        <f t="shared" si="4"/>
        <v>12.79</v>
      </c>
      <c r="AB13" s="59">
        <f t="shared" si="5"/>
        <v>17.920000000000002</v>
      </c>
      <c r="AC13" s="83">
        <f t="shared" si="6"/>
        <v>5.8162801273306046</v>
      </c>
      <c r="AD13" s="83">
        <f t="shared" si="7"/>
        <v>8.1491587085038653</v>
      </c>
      <c r="AE13" s="83">
        <f t="shared" si="8"/>
        <v>14.752160072760347</v>
      </c>
      <c r="AF13">
        <v>2</v>
      </c>
      <c r="AG13">
        <v>4</v>
      </c>
      <c r="AH13">
        <v>2</v>
      </c>
      <c r="AI13">
        <v>3</v>
      </c>
    </row>
    <row r="14" spans="1:35">
      <c r="A14" s="10" t="s">
        <v>24</v>
      </c>
      <c r="B14" s="11" t="s">
        <v>27</v>
      </c>
      <c r="C14" s="11">
        <f>VLOOKUP($B14,'BaseLine Data'!$B9:$AQ21,2,FALSE)</f>
        <v>1</v>
      </c>
      <c r="D14" s="11" t="str">
        <f>VLOOKUP($B14,'BaseLine Data'!$B9:$AQ21,3,FALSE)</f>
        <v>Millbury</v>
      </c>
      <c r="E14" s="11">
        <f>VLOOKUP($B14,'BaseLine Data'!$B9:$AQ21,4,FALSE)</f>
        <v>1100</v>
      </c>
      <c r="F14" s="11">
        <f>VLOOKUP($B14,'BaseLine Data'!$B9:$AQ21,2,FALSE)</f>
        <v>1</v>
      </c>
      <c r="G14" s="11">
        <f>VLOOKUP($B14,'BaseLine Data'!$B9:$AQ21,6,FALSE)</f>
        <v>1.5</v>
      </c>
      <c r="H14" s="11">
        <f>VLOOKUP($B14,'BaseLine Data'!$B9:$AQ21,7,FALSE)</f>
        <v>1953</v>
      </c>
      <c r="I14" s="11">
        <f>VLOOKUP($B14,'BaseLine Data'!$B9:$AQ21,13,FALSE)</f>
        <v>1868</v>
      </c>
      <c r="J14" s="11">
        <f>VLOOKUP($B14,'BaseLine Data'!$B9:$AQ21,14,FALSE)</f>
        <v>1868</v>
      </c>
      <c r="K14" s="11">
        <f>VLOOKUP($B14,'BaseLine Data'!$B9:$AQ21,19,FALSE)</f>
        <v>2860</v>
      </c>
      <c r="L14" s="11">
        <f>VLOOKUP($B14,'BaseLine Data'!$B9:$AQ21,20,FALSE)</f>
        <v>402</v>
      </c>
      <c r="M14" s="47">
        <f>VLOOKUP($B14,'BaseLine Data'!$B9:$AQ21,21,FALSE)</f>
        <v>10.4</v>
      </c>
      <c r="N14" s="47">
        <f>VLOOKUP($B14,'BaseLine Data'!$B9:$AQ21,22,FALSE)</f>
        <v>1.4188235294117648</v>
      </c>
      <c r="O14" s="47">
        <f>VLOOKUP($B14,'BaseLine Data'!$B9:$AQ21,25,FALSE)</f>
        <v>1.5310492505353319</v>
      </c>
      <c r="P14" s="47">
        <f>VLOOKUP($B14,'BaseLine Data'!$B9:$AQ21,26,FALSE)</f>
        <v>0.21520342612419699</v>
      </c>
      <c r="Q14" s="47">
        <f>VLOOKUP($B14,'BaseLine Data'!$B9:$AQ21,35,FALSE)</f>
        <v>2.34</v>
      </c>
      <c r="R14" s="47">
        <f>VLOOKUP($B14,'BaseLine Data'!$B9:$AQ21,36,FALSE)</f>
        <v>6.58</v>
      </c>
      <c r="S14" s="40">
        <f>VLOOKUP($B14,'BaseLine Data'!$B9:$AQ21,29,FALSE)</f>
        <v>45.04</v>
      </c>
      <c r="T14" s="40">
        <f>VLOOKUP($B14,'BaseLine Data'!$B9:$AQ21,30,FALSE)</f>
        <v>129.72999999999999</v>
      </c>
      <c r="U14" s="48">
        <f t="shared" si="0"/>
        <v>16.96</v>
      </c>
      <c r="V14" s="48">
        <f t="shared" si="1"/>
        <v>50.769999999999982</v>
      </c>
      <c r="W14" s="59">
        <f t="shared" si="2"/>
        <v>9.0792291220556738</v>
      </c>
      <c r="X14" s="59">
        <f t="shared" si="3"/>
        <v>27.178800856531041</v>
      </c>
      <c r="Y14" s="40">
        <f>VLOOKUP($B14,'BaseLine Data'!$B9:$AQ21,32,FALSE)</f>
        <v>21.26</v>
      </c>
      <c r="Z14" s="48">
        <f>VLOOKUP($B14,'BaseLine Data'!$B9:$AQ21,33,FALSE)</f>
        <v>62.9</v>
      </c>
      <c r="AA14" s="59">
        <f t="shared" si="4"/>
        <v>7.2200000000000024</v>
      </c>
      <c r="AB14" s="59">
        <f t="shared" si="5"/>
        <v>23.419999999999995</v>
      </c>
      <c r="AC14" s="83">
        <f t="shared" si="6"/>
        <v>3.8650963597430423</v>
      </c>
      <c r="AD14" s="83">
        <f t="shared" si="7"/>
        <v>12.537473233404709</v>
      </c>
      <c r="AE14" s="83">
        <f t="shared" si="8"/>
        <v>14.641327623126331</v>
      </c>
      <c r="AF14">
        <v>2</v>
      </c>
      <c r="AG14">
        <v>2</v>
      </c>
      <c r="AH14">
        <v>2</v>
      </c>
      <c r="AI14">
        <v>3</v>
      </c>
    </row>
    <row r="15" spans="1:35">
      <c r="A15" s="10" t="s">
        <v>24</v>
      </c>
      <c r="B15" s="11" t="s">
        <v>25</v>
      </c>
      <c r="C15" s="11">
        <f>VLOOKUP($B15,'BaseLine Data'!$B9:$AQ21,2,FALSE)</f>
        <v>1</v>
      </c>
      <c r="D15" s="11" t="str">
        <f>VLOOKUP($B15,'BaseLine Data'!$B9:$AQ21,3,FALSE)</f>
        <v>Belchertown</v>
      </c>
      <c r="E15" s="11">
        <f>VLOOKUP($B15,'BaseLine Data'!$B9:$AQ21,4,FALSE)</f>
        <v>1352</v>
      </c>
      <c r="F15" s="11">
        <f>VLOOKUP($B15,'BaseLine Data'!$B9:$AQ21,2,FALSE)</f>
        <v>1</v>
      </c>
      <c r="G15" s="11">
        <f>VLOOKUP($B15,'BaseLine Data'!$B9:$AQ21,6,FALSE)</f>
        <v>1.5</v>
      </c>
      <c r="H15" s="11">
        <f>VLOOKUP($B15,'BaseLine Data'!$B9:$AQ21,7,FALSE)</f>
        <v>1760</v>
      </c>
      <c r="I15" s="11">
        <f>VLOOKUP($B15,'BaseLine Data'!$B9:$AQ21,13,FALSE)</f>
        <v>1435</v>
      </c>
      <c r="J15" s="11">
        <f>VLOOKUP($B15,'BaseLine Data'!$B9:$AQ21,14,FALSE)</f>
        <v>1907</v>
      </c>
      <c r="K15" s="11">
        <f>VLOOKUP($B15,'BaseLine Data'!$B9:$AQ21,19,FALSE)</f>
        <v>9079</v>
      </c>
      <c r="L15" s="11">
        <f>VLOOKUP($B15,'BaseLine Data'!$B9:$AQ21,20,FALSE)</f>
        <v>468</v>
      </c>
      <c r="M15" s="47">
        <f>VLOOKUP($B15,'BaseLine Data'!$B9:$AQ21,21,FALSE)</f>
        <v>57.656646909398809</v>
      </c>
      <c r="N15" s="47">
        <f>VLOOKUP($B15,'BaseLine Data'!$B9:$AQ21,22,FALSE)</f>
        <v>1.8755009350788139</v>
      </c>
      <c r="O15" s="47">
        <f>VLOOKUP($B15,'BaseLine Data'!$B9:$AQ21,25,FALSE)</f>
        <v>6.3268292682926832</v>
      </c>
      <c r="P15" s="47">
        <f>VLOOKUP($B15,'BaseLine Data'!$B9:$AQ21,26,FALSE)</f>
        <v>0.2454116413214473</v>
      </c>
      <c r="Q15" s="47">
        <f>VLOOKUP($B15,'BaseLine Data'!$B9:$AQ21,35,FALSE)</f>
        <v>1.04</v>
      </c>
      <c r="R15" s="47">
        <f>VLOOKUP($B15,'BaseLine Data'!$B9:$AQ21,36,FALSE)</f>
        <v>2</v>
      </c>
      <c r="S15" s="40">
        <f>VLOOKUP($B15,'BaseLine Data'!$B9:$AQ21,29,FALSE)</f>
        <v>37.130000000000003</v>
      </c>
      <c r="T15" s="40">
        <f>VLOOKUP($B15,'BaseLine Data'!$B9:$AQ21,30,FALSE)</f>
        <v>52.4</v>
      </c>
      <c r="U15" s="48">
        <f t="shared" si="0"/>
        <v>24.650000000000002</v>
      </c>
      <c r="V15" s="48">
        <f t="shared" si="1"/>
        <v>28.4</v>
      </c>
      <c r="W15" s="59">
        <f t="shared" si="2"/>
        <v>12.926061877294181</v>
      </c>
      <c r="X15" s="59">
        <f t="shared" si="3"/>
        <v>14.892501310959622</v>
      </c>
      <c r="Y15" s="40">
        <f>VLOOKUP($B15,'BaseLine Data'!$B9:$AQ21,32,FALSE)</f>
        <v>15.1</v>
      </c>
      <c r="Z15" s="48">
        <f>VLOOKUP($B15,'BaseLine Data'!$B9:$AQ21,33,FALSE)</f>
        <v>22.29</v>
      </c>
      <c r="AA15" s="59">
        <f t="shared" si="4"/>
        <v>8.86</v>
      </c>
      <c r="AB15" s="59">
        <f t="shared" si="5"/>
        <v>10.29</v>
      </c>
      <c r="AC15" s="83">
        <f t="shared" si="6"/>
        <v>4.6460409019402205</v>
      </c>
      <c r="AD15" s="83">
        <f t="shared" si="7"/>
        <v>5.3959098059779755</v>
      </c>
      <c r="AE15" s="83">
        <f t="shared" si="8"/>
        <v>9.4965915049816463</v>
      </c>
      <c r="AF15">
        <v>1</v>
      </c>
      <c r="AG15">
        <v>4</v>
      </c>
      <c r="AH15">
        <v>1</v>
      </c>
      <c r="AI15">
        <v>3</v>
      </c>
    </row>
    <row r="16" spans="1:35">
      <c r="A16" s="10" t="s">
        <v>24</v>
      </c>
      <c r="B16" s="11" t="s">
        <v>36</v>
      </c>
      <c r="C16" s="11">
        <f>VLOOKUP($B16,'BaseLine Data'!$B9:$AQ21,2,FALSE)</f>
        <v>1</v>
      </c>
      <c r="D16" s="11" t="str">
        <f>VLOOKUP($B16,'BaseLine Data'!$B9:$AQ21,3,FALSE)</f>
        <v>Brookline</v>
      </c>
      <c r="E16" s="11">
        <f>VLOOKUP($B16,'BaseLine Data'!$B9:$AQ21,4,FALSE)</f>
        <v>2284</v>
      </c>
      <c r="F16" s="11">
        <f>VLOOKUP($B16,'BaseLine Data'!$B9:$AQ21,2,FALSE)</f>
        <v>1</v>
      </c>
      <c r="G16" s="11">
        <f>VLOOKUP($B16,'BaseLine Data'!$B9:$AQ21,6,FALSE)</f>
        <v>3</v>
      </c>
      <c r="H16" s="11">
        <f>VLOOKUP($B16,'BaseLine Data'!$B9:$AQ21,7,FALSE)</f>
        <v>1899</v>
      </c>
      <c r="I16" s="11">
        <f>VLOOKUP($B16,'BaseLine Data'!$B9:$AQ21,13,FALSE)</f>
        <v>3078</v>
      </c>
      <c r="J16" s="11">
        <f>VLOOKUP($B16,'BaseLine Data'!$B9:$AQ21,14,FALSE)</f>
        <v>3174</v>
      </c>
      <c r="K16" s="11">
        <f>VLOOKUP($B16,'BaseLine Data'!$B9:$AQ21,19,FALSE)</f>
        <v>1640</v>
      </c>
      <c r="L16" s="11">
        <f>VLOOKUP($B16,'BaseLine Data'!$B9:$AQ21,20,FALSE)</f>
        <v>655</v>
      </c>
      <c r="M16" s="47">
        <f>VLOOKUP($B16,'BaseLine Data'!$B9:$AQ21,21,FALSE)</f>
        <v>3.7575896437163481</v>
      </c>
      <c r="N16" s="47">
        <f>VLOOKUP($B16,'BaseLine Data'!$B9:$AQ21,22,FALSE)</f>
        <v>1.5007446442891512</v>
      </c>
      <c r="O16" s="47">
        <f>VLOOKUP($B16,'BaseLine Data'!$B9:$AQ21,25,FALSE)</f>
        <v>0.53281351526965559</v>
      </c>
      <c r="P16" s="47">
        <f>VLOOKUP($B16,'BaseLine Data'!$B9:$AQ21,26,FALSE)</f>
        <v>0.20636420919974796</v>
      </c>
      <c r="Q16" s="47">
        <f>VLOOKUP($B16,'BaseLine Data'!$B9:$AQ21,35,FALSE)</f>
        <v>2.27</v>
      </c>
      <c r="R16" s="47">
        <f>VLOOKUP($B16,'BaseLine Data'!$B9:$AQ21,36,FALSE)</f>
        <v>4.37</v>
      </c>
      <c r="S16" s="40">
        <f>VLOOKUP($B16,'BaseLine Data'!$B9:$AQ21,29,FALSE)</f>
        <v>0</v>
      </c>
      <c r="T16" s="40">
        <f>VLOOKUP($B16,'BaseLine Data'!$B9:$AQ21,30,FALSE)</f>
        <v>0</v>
      </c>
      <c r="U16" s="48">
        <f t="shared" si="0"/>
        <v>0</v>
      </c>
      <c r="V16" s="48">
        <f t="shared" si="1"/>
        <v>0</v>
      </c>
      <c r="W16" s="59">
        <f t="shared" si="2"/>
        <v>0</v>
      </c>
      <c r="X16" s="59">
        <f t="shared" si="3"/>
        <v>0</v>
      </c>
      <c r="Y16" s="40">
        <f>VLOOKUP($B16,'BaseLine Data'!$B9:$AQ21,32,FALSE)</f>
        <v>28.04</v>
      </c>
      <c r="Z16" s="48">
        <f>VLOOKUP($B16,'BaseLine Data'!$B9:$AQ21,33,FALSE)</f>
        <v>43.43</v>
      </c>
      <c r="AA16" s="59">
        <f t="shared" si="4"/>
        <v>14.419999999999998</v>
      </c>
      <c r="AB16" s="59">
        <f t="shared" si="5"/>
        <v>17.21</v>
      </c>
      <c r="AC16" s="83">
        <f t="shared" si="6"/>
        <v>4.5431632010081913</v>
      </c>
      <c r="AD16" s="83">
        <f t="shared" si="7"/>
        <v>5.4221802142407061</v>
      </c>
      <c r="AE16" s="83">
        <f t="shared" si="8"/>
        <v>0</v>
      </c>
      <c r="AF16">
        <v>1</v>
      </c>
      <c r="AG16">
        <v>4</v>
      </c>
      <c r="AH16">
        <v>1</v>
      </c>
      <c r="AI16">
        <v>2</v>
      </c>
    </row>
    <row r="17" spans="1:35" ht="90">
      <c r="A17" s="10" t="s">
        <v>24</v>
      </c>
      <c r="B17" s="11" t="s">
        <v>35</v>
      </c>
      <c r="C17" s="11">
        <f>VLOOKUP($B17,'BaseLine Data'!$B9:$AQ21,2,FALSE)</f>
        <v>1</v>
      </c>
      <c r="D17" s="11" t="str">
        <f>VLOOKUP($B17,'BaseLine Data'!$B9:$AQ21,3,FALSE)</f>
        <v>Lancaster</v>
      </c>
      <c r="E17" s="11">
        <f>VLOOKUP($B17,'BaseLine Data'!$B9:$AQ21,4,FALSE)</f>
        <v>908</v>
      </c>
      <c r="F17" s="11">
        <f>VLOOKUP($B17,'BaseLine Data'!$B9:$AQ21,2,FALSE)</f>
        <v>1</v>
      </c>
      <c r="G17" s="11">
        <f>VLOOKUP($B17,'BaseLine Data'!$B9:$AQ21,6,FALSE)</f>
        <v>2</v>
      </c>
      <c r="H17" s="11">
        <f>VLOOKUP($B17,'BaseLine Data'!$B9:$AQ21,7,FALSE)</f>
        <v>1900</v>
      </c>
      <c r="I17" s="11">
        <f>VLOOKUP($B17,'BaseLine Data'!$B9:$AQ21,13,FALSE)</f>
        <v>980</v>
      </c>
      <c r="J17" s="11">
        <f>VLOOKUP($B17,'BaseLine Data'!$B9:$AQ21,14,FALSE)</f>
        <v>1440</v>
      </c>
      <c r="K17" s="11">
        <f>VLOOKUP($B17,'BaseLine Data'!$B9:$AQ21,19,FALSE)</f>
        <v>4254</v>
      </c>
      <c r="L17" s="11">
        <f>VLOOKUP($B17,'BaseLine Data'!$B9:$AQ21,20,FALSE)</f>
        <v>293</v>
      </c>
      <c r="M17" s="47">
        <f>VLOOKUP($B17,'BaseLine Data'!$B9:$AQ21,21,FALSE)</f>
        <v>36.050847457627121</v>
      </c>
      <c r="N17" s="47">
        <f>VLOOKUP($B17,'BaseLine Data'!$B9:$AQ21,22,FALSE)</f>
        <v>1.4250972762645915</v>
      </c>
      <c r="O17" s="47">
        <f>VLOOKUP($B17,'BaseLine Data'!$B9:$AQ21,25,FALSE)</f>
        <v>4.3408163265306126</v>
      </c>
      <c r="P17" s="47">
        <f>VLOOKUP($B17,'BaseLine Data'!$B9:$AQ21,26,FALSE)</f>
        <v>0.20347222222222222</v>
      </c>
      <c r="Q17" s="47">
        <f>VLOOKUP($B17,'BaseLine Data'!$B9:$AQ21,35,FALSE)</f>
        <v>3.3</v>
      </c>
      <c r="R17" s="47">
        <f>VLOOKUP($B17,'BaseLine Data'!$B9:$AQ21,36,FALSE)</f>
        <v>6.98</v>
      </c>
      <c r="S17" s="40">
        <f>VLOOKUP($B17,'BaseLine Data'!$B9:$AQ21,29,FALSE)</f>
        <v>0</v>
      </c>
      <c r="T17" s="40">
        <f>VLOOKUP($B17,'BaseLine Data'!$B9:$AQ21,30,FALSE)</f>
        <v>0</v>
      </c>
      <c r="U17" s="48">
        <f t="shared" si="0"/>
        <v>0</v>
      </c>
      <c r="V17" s="48">
        <f t="shared" si="1"/>
        <v>0</v>
      </c>
      <c r="W17" s="59">
        <f t="shared" si="2"/>
        <v>0</v>
      </c>
      <c r="X17" s="59">
        <f t="shared" si="3"/>
        <v>0</v>
      </c>
      <c r="Y17" s="40">
        <f>VLOOKUP($B17,'BaseLine Data'!$B9:$AQ21,32,FALSE)</f>
        <v>22.26</v>
      </c>
      <c r="Z17" s="48">
        <f>VLOOKUP($B17,'BaseLine Data'!$B9:$AQ21,33,FALSE)</f>
        <v>50.03</v>
      </c>
      <c r="AA17" s="59">
        <f t="shared" si="4"/>
        <v>2.4600000000000044</v>
      </c>
      <c r="AB17" s="59">
        <f t="shared" si="5"/>
        <v>8.1499999999999986</v>
      </c>
      <c r="AC17" s="83">
        <f t="shared" si="6"/>
        <v>1.7083333333333366</v>
      </c>
      <c r="AD17" s="83">
        <f t="shared" si="7"/>
        <v>5.6597222222222205</v>
      </c>
      <c r="AE17" s="83">
        <f t="shared" si="8"/>
        <v>0</v>
      </c>
      <c r="AF17" s="10">
        <v>1</v>
      </c>
      <c r="AG17" s="10">
        <v>4</v>
      </c>
      <c r="AH17" s="10">
        <v>3</v>
      </c>
      <c r="AI17" s="10">
        <v>3</v>
      </c>
    </row>
    <row r="18" spans="1:35">
      <c r="A18" s="10" t="s">
        <v>24</v>
      </c>
      <c r="B18" s="11" t="s">
        <v>28</v>
      </c>
      <c r="C18" s="11">
        <f>VLOOKUP($B18,'BaseLine Data'!$B9:$AQ21,2,FALSE)</f>
        <v>1</v>
      </c>
      <c r="D18" s="11" t="str">
        <f>VLOOKUP($B18,'BaseLine Data'!$B9:$AQ21,3,FALSE)</f>
        <v>Milton</v>
      </c>
      <c r="E18" s="11">
        <f>VLOOKUP($B18,'BaseLine Data'!$B9:$AQ21,4,FALSE)</f>
        <v>1600</v>
      </c>
      <c r="F18" s="11">
        <f>VLOOKUP($B18,'BaseLine Data'!$B9:$AQ21,2,FALSE)</f>
        <v>1</v>
      </c>
      <c r="G18" s="11">
        <f>VLOOKUP($B18,'BaseLine Data'!$B9:$AQ21,6,FALSE)</f>
        <v>2</v>
      </c>
      <c r="H18" s="11">
        <f>VLOOKUP($B18,'BaseLine Data'!$B9:$AQ21,7,FALSE)</f>
        <v>1960</v>
      </c>
      <c r="I18" s="11">
        <f>VLOOKUP($B18,'BaseLine Data'!$B9:$AQ21,13,FALSE)</f>
        <v>2368</v>
      </c>
      <c r="J18" s="11">
        <f>VLOOKUP($B18,'BaseLine Data'!$B9:$AQ21,14,FALSE)</f>
        <v>2368</v>
      </c>
      <c r="K18" s="11">
        <f>VLOOKUP($B18,'BaseLine Data'!$B9:$AQ21,19,FALSE)</f>
        <v>1695</v>
      </c>
      <c r="L18" s="11">
        <f>VLOOKUP($B18,'BaseLine Data'!$B9:$AQ21,20,FALSE)</f>
        <v>584</v>
      </c>
      <c r="M18" s="47">
        <f>VLOOKUP($B18,'BaseLine Data'!$B9:$AQ21,21,FALSE)</f>
        <v>4.5285337703049304</v>
      </c>
      <c r="N18" s="47">
        <f>VLOOKUP($B18,'BaseLine Data'!$B9:$AQ21,22,FALSE)</f>
        <v>1.4326835012429675</v>
      </c>
      <c r="O18" s="47">
        <f>VLOOKUP($B18,'BaseLine Data'!$B9:$AQ21,25,FALSE)</f>
        <v>0.71579391891891897</v>
      </c>
      <c r="P18" s="47">
        <f>VLOOKUP($B18,'BaseLine Data'!$B9:$AQ21,26,FALSE)</f>
        <v>0.24662162162162163</v>
      </c>
      <c r="Q18" s="47">
        <f>VLOOKUP($B18,'BaseLine Data'!$B9:$AQ21,35,FALSE)</f>
        <v>2.4700000000000002</v>
      </c>
      <c r="R18" s="47">
        <f>VLOOKUP($B18,'BaseLine Data'!$B9:$AQ21,36,FALSE)</f>
        <v>5.74</v>
      </c>
      <c r="S18" s="40">
        <f>VLOOKUP($B18,'BaseLine Data'!$B9:$AQ21,29,FALSE)</f>
        <v>53.59</v>
      </c>
      <c r="T18" s="40">
        <f>VLOOKUP($B18,'BaseLine Data'!$B9:$AQ21,30,FALSE)</f>
        <v>108.13</v>
      </c>
      <c r="U18" s="48">
        <f t="shared" si="0"/>
        <v>23.950000000000003</v>
      </c>
      <c r="V18" s="48">
        <f t="shared" si="1"/>
        <v>39.25</v>
      </c>
      <c r="W18" s="59">
        <f t="shared" si="2"/>
        <v>10.114020270270272</v>
      </c>
      <c r="X18" s="59">
        <f t="shared" si="3"/>
        <v>16.575168918918919</v>
      </c>
      <c r="Y18" s="40">
        <f>VLOOKUP($B18,'BaseLine Data'!$B9:$AQ21,32,FALSE)</f>
        <v>26.05</v>
      </c>
      <c r="Z18" s="48">
        <f>VLOOKUP($B18,'BaseLine Data'!$B9:$AQ21,33,FALSE)</f>
        <v>50.54</v>
      </c>
      <c r="AA18" s="59">
        <f t="shared" si="4"/>
        <v>11.23</v>
      </c>
      <c r="AB18" s="59">
        <f t="shared" si="5"/>
        <v>16.100000000000001</v>
      </c>
      <c r="AC18" s="83">
        <f t="shared" si="6"/>
        <v>4.7423986486486482</v>
      </c>
      <c r="AD18" s="83">
        <f t="shared" si="7"/>
        <v>6.7989864864864868</v>
      </c>
      <c r="AE18" s="83">
        <f t="shared" si="8"/>
        <v>9.7761824324324316</v>
      </c>
      <c r="AF18">
        <v>1</v>
      </c>
      <c r="AG18">
        <v>3</v>
      </c>
      <c r="AH18">
        <v>1</v>
      </c>
      <c r="AI18">
        <v>3</v>
      </c>
    </row>
    <row r="19" spans="1:35">
      <c r="A19" s="10" t="s">
        <v>24</v>
      </c>
      <c r="B19" s="11" t="s">
        <v>33</v>
      </c>
      <c r="C19" s="11">
        <f>VLOOKUP($B19,'BaseLine Data'!$B9:$AQ21,2,FALSE)</f>
        <v>3</v>
      </c>
      <c r="D19" s="11" t="str">
        <f>VLOOKUP($B19,'BaseLine Data'!$B9:$AQ21,3,FALSE)</f>
        <v>Jamaica Plain</v>
      </c>
      <c r="E19" s="11">
        <f>VLOOKUP($B19,'BaseLine Data'!$B9:$AQ21,4,FALSE)</f>
        <v>3885</v>
      </c>
      <c r="F19" s="11">
        <f>VLOOKUP($B19,'BaseLine Data'!$B9:$AQ21,2,FALSE)</f>
        <v>3</v>
      </c>
      <c r="G19" s="11">
        <f>VLOOKUP($B19,'BaseLine Data'!$B9:$AQ21,6,FALSE)</f>
        <v>3</v>
      </c>
      <c r="H19" s="11">
        <f>VLOOKUP($B19,'BaseLine Data'!$B9:$AQ21,7,FALSE)</f>
        <v>1907</v>
      </c>
      <c r="I19" s="11">
        <f>VLOOKUP($B19,'BaseLine Data'!$B9:$AQ21,13,FALSE)</f>
        <v>3885</v>
      </c>
      <c r="J19" s="11">
        <f>VLOOKUP($B19,'BaseLine Data'!$B9:$AQ21,14,FALSE)</f>
        <v>3885</v>
      </c>
      <c r="K19" s="11">
        <f>VLOOKUP($B19,'BaseLine Data'!$B9:$AQ21,19,FALSE)</f>
        <v>7729</v>
      </c>
      <c r="L19" s="11">
        <f>VLOOKUP($B19,'BaseLine Data'!$B9:$AQ21,20,FALSE)</f>
        <v>1802</v>
      </c>
      <c r="M19" s="47">
        <f>VLOOKUP($B19,'BaseLine Data'!$B9:$AQ21,21,FALSE)</f>
        <v>10.889494199971821</v>
      </c>
      <c r="N19" s="47">
        <f>VLOOKUP($B19,'BaseLine Data'!$B9:$AQ21,22,FALSE)</f>
        <v>2.5388625369839852</v>
      </c>
      <c r="O19" s="47">
        <f>VLOOKUP($B19,'BaseLine Data'!$B9:$AQ21,25,FALSE)</f>
        <v>1.9894465894465894</v>
      </c>
      <c r="P19" s="47">
        <f>VLOOKUP($B19,'BaseLine Data'!$B9:$AQ21,26,FALSE)</f>
        <v>0.46383526383526386</v>
      </c>
      <c r="Q19" s="47">
        <f>VLOOKUP($B19,'BaseLine Data'!$B9:$AQ21,35,FALSE)</f>
        <v>4.38</v>
      </c>
      <c r="R19" s="47">
        <f>VLOOKUP($B19,'BaseLine Data'!$B9:$AQ21,36,FALSE)</f>
        <v>8.08</v>
      </c>
      <c r="S19" s="40">
        <f>VLOOKUP($B19,'BaseLine Data'!$B9:$AQ21,29,FALSE)</f>
        <v>100.8</v>
      </c>
      <c r="T19" s="40">
        <f>VLOOKUP($B19,'BaseLine Data'!$B9:$AQ21,30,FALSE)</f>
        <v>153.69999999999999</v>
      </c>
      <c r="U19" s="48">
        <f t="shared" si="0"/>
        <v>48.239999999999995</v>
      </c>
      <c r="V19" s="48">
        <f t="shared" si="1"/>
        <v>56.739999999999981</v>
      </c>
      <c r="W19" s="59">
        <f t="shared" si="2"/>
        <v>12.416988416988415</v>
      </c>
      <c r="X19" s="59">
        <f t="shared" si="3"/>
        <v>14.604890604890599</v>
      </c>
      <c r="Y19" s="40">
        <f>VLOOKUP($B19,'BaseLine Data'!$B9:$AQ21,32,FALSE)</f>
        <v>50.35</v>
      </c>
      <c r="Z19" s="48">
        <f>VLOOKUP($B19,'BaseLine Data'!$B9:$AQ21,33,FALSE)</f>
        <v>75.52</v>
      </c>
      <c r="AA19" s="59">
        <f t="shared" si="4"/>
        <v>24.07</v>
      </c>
      <c r="AB19" s="59">
        <f t="shared" si="5"/>
        <v>27.039999999999992</v>
      </c>
      <c r="AC19" s="83">
        <f t="shared" si="6"/>
        <v>6.1956241956241955</v>
      </c>
      <c r="AD19" s="83">
        <f t="shared" si="7"/>
        <v>6.960102960102958</v>
      </c>
      <c r="AE19" s="83">
        <f t="shared" si="8"/>
        <v>7.6447876447876411</v>
      </c>
      <c r="AF19">
        <v>1</v>
      </c>
      <c r="AG19">
        <v>4</v>
      </c>
      <c r="AH19">
        <v>1</v>
      </c>
      <c r="AI19">
        <v>3</v>
      </c>
    </row>
    <row r="20" spans="1:35" ht="30">
      <c r="A20" s="10" t="s">
        <v>24</v>
      </c>
      <c r="B20" s="11" t="s">
        <v>30</v>
      </c>
      <c r="C20" s="11">
        <f>VLOOKUP($B20,'BaseLine Data'!$B9:$AQ21,2,FALSE)</f>
        <v>2</v>
      </c>
      <c r="D20" s="11" t="str">
        <f>VLOOKUP($B20,'BaseLine Data'!$B9:$AQ21,3,FALSE)</f>
        <v>Arlington</v>
      </c>
      <c r="E20" s="11">
        <f>VLOOKUP($B20,'BaseLine Data'!$B9:$AQ21,4,FALSE)</f>
        <v>2112</v>
      </c>
      <c r="F20" s="11">
        <f>VLOOKUP($B20,'BaseLine Data'!$B9:$AQ21,2,FALSE)</f>
        <v>2</v>
      </c>
      <c r="G20" s="11">
        <f>VLOOKUP($B20,'BaseLine Data'!$B9:$AQ21,6,FALSE)</f>
        <v>2</v>
      </c>
      <c r="H20" s="11">
        <f>VLOOKUP($B20,'BaseLine Data'!$B9:$AQ21,7,FALSE)</f>
        <v>1910</v>
      </c>
      <c r="I20" s="11">
        <f>VLOOKUP($B20,'BaseLine Data'!$B9:$AQ21,13,FALSE)</f>
        <v>2502</v>
      </c>
      <c r="J20" s="11">
        <f>VLOOKUP($B20,'BaseLine Data'!$B9:$AQ21,14,FALSE)</f>
        <v>3627</v>
      </c>
      <c r="K20" s="11">
        <f>VLOOKUP($B20,'BaseLine Data'!$B9:$AQ21,19,FALSE)</f>
        <v>8730</v>
      </c>
      <c r="L20" s="11">
        <f>VLOOKUP($B20,'BaseLine Data'!$B9:$AQ21,20,FALSE)</f>
        <v>3586</v>
      </c>
      <c r="M20" s="47">
        <f>VLOOKUP($B20,'BaseLine Data'!$B9:$AQ21,21,FALSE)</f>
        <v>25.986009822890313</v>
      </c>
      <c r="N20" s="47">
        <f>VLOOKUP($B20,'BaseLine Data'!$B9:$AQ21,22,FALSE)</f>
        <v>7.2571505666486775</v>
      </c>
      <c r="O20" s="47">
        <f>VLOOKUP($B20,'BaseLine Data'!$B9:$AQ21,25,FALSE)</f>
        <v>3.4892086330935252</v>
      </c>
      <c r="P20" s="47">
        <f>VLOOKUP($B20,'BaseLine Data'!$B9:$AQ21,26,FALSE)</f>
        <v>0.98869589192169838</v>
      </c>
      <c r="Q20" s="47">
        <f>VLOOKUP($B20,'BaseLine Data'!$B9:$AQ21,35,FALSE)</f>
        <v>4.1500000000000004</v>
      </c>
      <c r="R20" s="47">
        <f>VLOOKUP($B20,'BaseLine Data'!$B9:$AQ21,36,FALSE)</f>
        <v>10.76</v>
      </c>
      <c r="S20" s="40">
        <f>VLOOKUP($B20,'BaseLine Data'!$B9:$AQ21,29,FALSE)</f>
        <v>100.75</v>
      </c>
      <c r="T20" s="40">
        <f>VLOOKUP($B20,'BaseLine Data'!$B9:$AQ21,30,FALSE)</f>
        <v>216.58</v>
      </c>
      <c r="U20" s="48">
        <f t="shared" si="0"/>
        <v>50.949999999999996</v>
      </c>
      <c r="V20" s="48">
        <f t="shared" si="1"/>
        <v>87.460000000000008</v>
      </c>
      <c r="W20" s="59">
        <f t="shared" si="2"/>
        <v>14.047422111938239</v>
      </c>
      <c r="X20" s="59">
        <f t="shared" si="3"/>
        <v>24.113592500689279</v>
      </c>
      <c r="Y20" s="40">
        <f>VLOOKUP($B20,'BaseLine Data'!$B9:$AQ21,32,FALSE)</f>
        <v>44.42</v>
      </c>
      <c r="Z20" s="48">
        <f>VLOOKUP($B20,'BaseLine Data'!$B9:$AQ21,33,FALSE)</f>
        <v>91.72</v>
      </c>
      <c r="AA20" s="59">
        <f t="shared" si="4"/>
        <v>19.52</v>
      </c>
      <c r="AB20" s="59">
        <f t="shared" si="5"/>
        <v>27.159999999999997</v>
      </c>
      <c r="AC20" s="83">
        <f t="shared" si="6"/>
        <v>5.3818582850840917</v>
      </c>
      <c r="AD20" s="83">
        <f t="shared" si="7"/>
        <v>7.4882823269920031</v>
      </c>
      <c r="AE20" s="83">
        <f t="shared" si="8"/>
        <v>16.625310173697276</v>
      </c>
      <c r="AF20">
        <v>1</v>
      </c>
      <c r="AG20">
        <v>1</v>
      </c>
      <c r="AH20">
        <v>3</v>
      </c>
      <c r="AI20">
        <v>1</v>
      </c>
    </row>
    <row r="21" spans="1:35">
      <c r="A21" s="10" t="s">
        <v>24</v>
      </c>
      <c r="B21" s="11" t="s">
        <v>37</v>
      </c>
      <c r="C21" s="11">
        <f>VLOOKUP($B21,'BaseLine Data'!$B9:$AQ21,2,FALSE)</f>
        <v>1</v>
      </c>
      <c r="D21" s="11" t="str">
        <f>VLOOKUP($B21,'BaseLine Data'!$B9:$AQ21,3,FALSE)</f>
        <v>Westford</v>
      </c>
      <c r="E21" s="11">
        <f>VLOOKUP($B21,'BaseLine Data'!$B9:$AQ21,4,FALSE)</f>
        <v>2906</v>
      </c>
      <c r="F21" s="11">
        <f>VLOOKUP($B21,'BaseLine Data'!$B9:$AQ21,2,FALSE)</f>
        <v>1</v>
      </c>
      <c r="G21" s="11">
        <f>VLOOKUP($B21,'BaseLine Data'!$B9:$AQ21,6,FALSE)</f>
        <v>2</v>
      </c>
      <c r="H21" s="11">
        <f>VLOOKUP($B21,'BaseLine Data'!$B9:$AQ21,7,FALSE)</f>
        <v>1993</v>
      </c>
      <c r="I21" s="11">
        <f>VLOOKUP($B21,'BaseLine Data'!$B9:$AQ21,13,FALSE)</f>
        <v>2906</v>
      </c>
      <c r="J21" s="11">
        <f>VLOOKUP($B21,'BaseLine Data'!$B9:$AQ21,14,FALSE)</f>
        <v>3955</v>
      </c>
      <c r="K21" s="11">
        <f>VLOOKUP($B21,'BaseLine Data'!$B9:$AQ21,19,FALSE)</f>
        <v>2592</v>
      </c>
      <c r="L21" s="11">
        <f>VLOOKUP($B21,'BaseLine Data'!$B9:$AQ21,20,FALSE)</f>
        <v>930</v>
      </c>
      <c r="M21" s="47">
        <f>VLOOKUP($B21,'BaseLine Data'!$B9:$AQ21,21,FALSE)</f>
        <v>4.8259169614596908</v>
      </c>
      <c r="N21" s="47">
        <f>VLOOKUP($B21,'BaseLine Data'!$B9:$AQ21,22,FALSE)</f>
        <v>1.2546374367622262</v>
      </c>
      <c r="O21" s="47">
        <f>VLOOKUP($B21,'BaseLine Data'!$B9:$AQ21,25,FALSE)</f>
        <v>0.89194769442532695</v>
      </c>
      <c r="P21" s="47">
        <f>VLOOKUP($B21,'BaseLine Data'!$B9:$AQ21,26,FALSE)</f>
        <v>0.23514538558786346</v>
      </c>
      <c r="Q21" s="47">
        <f>VLOOKUP($B21,'BaseLine Data'!$B9:$AQ21,35,FALSE)</f>
        <v>4.2300000000000004</v>
      </c>
      <c r="R21" s="47">
        <f>VLOOKUP($B21,'BaseLine Data'!$B9:$AQ21,36,FALSE)</f>
        <v>9.76</v>
      </c>
      <c r="S21" s="40">
        <f>VLOOKUP($B21,'BaseLine Data'!$B9:$AQ21,29,FALSE)</f>
        <v>0</v>
      </c>
      <c r="T21" s="40">
        <f>VLOOKUP($B21,'BaseLine Data'!$B9:$AQ21,30,FALSE)</f>
        <v>0</v>
      </c>
      <c r="U21" s="48">
        <f t="shared" si="0"/>
        <v>0</v>
      </c>
      <c r="V21" s="48">
        <f t="shared" si="1"/>
        <v>0</v>
      </c>
      <c r="W21" s="59">
        <f t="shared" si="2"/>
        <v>0</v>
      </c>
      <c r="X21" s="59">
        <f t="shared" si="3"/>
        <v>0</v>
      </c>
      <c r="Y21" s="40">
        <f>VLOOKUP($B21,'BaseLine Data'!$B9:$AQ21,32,FALSE)</f>
        <v>56.66</v>
      </c>
      <c r="Z21" s="48">
        <f>VLOOKUP($B21,'BaseLine Data'!$B9:$AQ21,33,FALSE)</f>
        <v>103.25</v>
      </c>
      <c r="AA21" s="59">
        <f t="shared" si="4"/>
        <v>31.279999999999994</v>
      </c>
      <c r="AB21" s="59">
        <f t="shared" si="5"/>
        <v>44.69</v>
      </c>
      <c r="AC21" s="83">
        <f t="shared" si="6"/>
        <v>7.9089759797724382</v>
      </c>
      <c r="AD21" s="83">
        <f t="shared" si="7"/>
        <v>11.299620733249052</v>
      </c>
      <c r="AE21" s="83">
        <f t="shared" si="8"/>
        <v>0</v>
      </c>
      <c r="AF21">
        <v>1</v>
      </c>
      <c r="AG21">
        <v>2</v>
      </c>
      <c r="AH21">
        <v>3</v>
      </c>
      <c r="AI21">
        <v>2</v>
      </c>
    </row>
    <row r="22" spans="1:35">
      <c r="V22" t="s">
        <v>234</v>
      </c>
      <c r="X22" s="59">
        <f>AVERAGE(X9:X11,X13:X14)</f>
        <v>15.833008300310482</v>
      </c>
      <c r="AB22" t="s">
        <v>234</v>
      </c>
      <c r="AD22" s="59">
        <f>AVERAGE(AD9:AD14)</f>
        <v>6.8522946099862763</v>
      </c>
      <c r="AE22" s="59">
        <f t="shared" si="8"/>
        <v>8.9807136903242046</v>
      </c>
    </row>
    <row r="23" spans="1:35">
      <c r="B23" s="39"/>
      <c r="J23" s="38"/>
      <c r="L23" s="37"/>
      <c r="M23" s="35"/>
      <c r="N23" s="37"/>
      <c r="P23" s="35"/>
      <c r="Q23" s="35"/>
      <c r="R23" s="35"/>
      <c r="V23" t="s">
        <v>235</v>
      </c>
      <c r="X23" s="59">
        <f>AVERAGE(X15,X18:X20)</f>
        <v>17.546538333864603</v>
      </c>
      <c r="AB23" t="s">
        <v>235</v>
      </c>
      <c r="AD23" s="59">
        <f>AVERAGE(AD15:AD21)</f>
        <v>7.0035435356102003</v>
      </c>
      <c r="AE23" s="59"/>
    </row>
    <row r="24" spans="1:35">
      <c r="B24" s="39"/>
      <c r="L24" s="37"/>
      <c r="M24" s="37"/>
      <c r="N24" s="37"/>
    </row>
    <row r="25" spans="1:35">
      <c r="B25" s="39"/>
      <c r="L25" s="37"/>
      <c r="M25" s="35"/>
      <c r="N25" s="37"/>
    </row>
    <row r="26" spans="1:35">
      <c r="B26" s="39"/>
      <c r="L26" s="37"/>
      <c r="M26" s="37"/>
      <c r="N26" s="37"/>
    </row>
  </sheetData>
  <sortState ref="A9:AI21">
    <sortCondition descending="1" ref="AF9:AF21"/>
    <sortCondition ref="AD9:AD21"/>
  </sortState>
  <dataValidations disablePrompts="1" count="2">
    <dataValidation type="list" allowBlank="1" showInputMessage="1" showErrorMessage="1" sqref="WVF9:WVF21 WLJ9:WLJ21 WBN9:WBN21 VRR9:VRR21 VHV9:VHV21 UXZ9:UXZ21 UOD9:UOD21 UEH9:UEH21 TUL9:TUL21 TKP9:TKP21 TAT9:TAT21 SQX9:SQX21 SHB9:SHB21 RXF9:RXF21 RNJ9:RNJ21 RDN9:RDN21 QTR9:QTR21 QJV9:QJV21 PZZ9:PZZ21 PQD9:PQD21 PGH9:PGH21 OWL9:OWL21 OMP9:OMP21 OCT9:OCT21 NSX9:NSX21 NJB9:NJB21 MZF9:MZF21 MPJ9:MPJ21 MFN9:MFN21 LVR9:LVR21 LLV9:LLV21 LBZ9:LBZ21 KSD9:KSD21 KIH9:KIH21 JYL9:JYL21 JOP9:JOP21 JET9:JET21 IUX9:IUX21 ILB9:ILB21 IBF9:IBF21 HRJ9:HRJ21 HHN9:HHN21 GXR9:GXR21 GNV9:GNV21 GDZ9:GDZ21 FUD9:FUD21 FKH9:FKH21 FAL9:FAL21 EQP9:EQP21 EGT9:EGT21 DWX9:DWX21 DNB9:DNB21 DDF9:DDF21 CTJ9:CTJ21 CJN9:CJN21 BZR9:BZR21 BPV9:BPV21 BFZ9:BFZ21 AWD9:AWD21 AMH9:AMH21 ACL9:ACL21 SP9:SP21 IT9:IT21">
      <formula1>'[1]Project Statistics'!$K$74:$K$79</formula1>
    </dataValidation>
    <dataValidation type="list" allowBlank="1" showInputMessage="1" showErrorMessage="1" sqref="WVG9:WVH21 WLK9:WLL21 WBO9:WBP21 VRS9:VRT21 VHW9:VHX21 UYA9:UYB21 UOE9:UOF21 UEI9:UEJ21 TUM9:TUN21 TKQ9:TKR21 TAU9:TAV21 SQY9:SQZ21 SHC9:SHD21 RXG9:RXH21 RNK9:RNL21 RDO9:RDP21 QTS9:QTT21 QJW9:QJX21 QAA9:QAB21 PQE9:PQF21 PGI9:PGJ21 OWM9:OWN21 OMQ9:OMR21 OCU9:OCV21 NSY9:NSZ21 NJC9:NJD21 MZG9:MZH21 MPK9:MPL21 MFO9:MFP21 LVS9:LVT21 LLW9:LLX21 LCA9:LCB21 KSE9:KSF21 KII9:KIJ21 JYM9:JYN21 JOQ9:JOR21 JEU9:JEV21 IUY9:IUZ21 ILC9:ILD21 IBG9:IBH21 HRK9:HRL21 HHO9:HHP21 GXS9:GXT21 GNW9:GNX21 GEA9:GEB21 FUE9:FUF21 FKI9:FKJ21 FAM9:FAN21 EQQ9:EQR21 EGU9:EGV21 DWY9:DWZ21 DNC9:DND21 DDG9:DDH21 CTK9:CTL21 CJO9:CJP21 BZS9:BZT21 BPW9:BPX21 BGA9:BGB21 AWE9:AWF21 AMI9:AMJ21 ACM9:ACN21 SQ9:SR21 IU9:IV21">
      <formula1>'[1]Project Statistics'!$M$74:$M$75</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dimension ref="A7:AI26"/>
  <sheetViews>
    <sheetView topLeftCell="B22" zoomScale="130" zoomScaleNormal="130" workbookViewId="0">
      <pane xSplit="1" topLeftCell="Y1" activePane="topRight" state="frozen"/>
      <selection activeCell="B9" sqref="B9:X21"/>
      <selection pane="topRight" activeCell="W23" sqref="W23"/>
    </sheetView>
  </sheetViews>
  <sheetFormatPr defaultRowHeight="15"/>
  <cols>
    <col min="2" max="2" width="11.7109375" customWidth="1"/>
    <col min="3" max="3" width="8.7109375" customWidth="1"/>
    <col min="4" max="4" width="12.7109375" customWidth="1"/>
    <col min="6" max="6" width="11.5703125" customWidth="1"/>
    <col min="13" max="16" width="11.5703125" bestFit="1" customWidth="1"/>
    <col min="17" max="18" width="11.5703125" customWidth="1"/>
    <col min="26" max="26" width="11.5703125" bestFit="1" customWidth="1"/>
    <col min="27" max="31" width="11.5703125" customWidth="1"/>
  </cols>
  <sheetData>
    <row r="7" spans="1:35" ht="150.75" thickBot="1">
      <c r="B7" s="1" t="s">
        <v>0</v>
      </c>
      <c r="C7" s="11" t="str">
        <f>VLOOKUP($B7,'BaseLine Data'!$B7:$AQ21,2,FALSE)</f>
        <v>Number of Housing Units</v>
      </c>
      <c r="D7" s="11" t="str">
        <f>VLOOKUP($B7,'BaseLine Data'!$B7:$AQ21,3,FALSE)</f>
        <v>Location</v>
      </c>
      <c r="E7" s="11" t="str">
        <f>VLOOKUP($B7,'BaseLine Data'!$B7:$AQ21,4,FALSE)</f>
        <v>Pre-DER Cond. Floor Area
(sq.ft.)</v>
      </c>
      <c r="F7" s="11" t="str">
        <f>VLOOKUP($B7,'BaseLine Data'!$B7:$AQ21,2,FALSE)</f>
        <v>Number of Housing Units</v>
      </c>
      <c r="G7" s="11" t="str">
        <f>VLOOKUP($B7,'BaseLine Data'!$B7:$AQ21,6,FALSE)</f>
        <v>Stories</v>
      </c>
      <c r="H7" s="11" t="str">
        <f>VLOOKUP($B7,'BaseLine Data'!$B7:$AQ21,7,FALSE)</f>
        <v>Approx. Year Built</v>
      </c>
      <c r="I7" s="11" t="str">
        <f>VLOOKUP($B7,'BaseLine Data'!$B7:$AQ21,13,FALSE)</f>
        <v>Pre-DER Cond. Floor Area
(sq.ft.)</v>
      </c>
      <c r="J7" s="11" t="str">
        <f>VLOOKUP($B7,'BaseLine Data'!$B7:$AQ21,14,FALSE)</f>
        <v>Post-DER Con. Floor Area        (sq.ft.)</v>
      </c>
      <c r="K7" s="11" t="str">
        <f>VLOOKUP($B7,'BaseLine Data'!$B7:$AQ21,19,FALSE)</f>
        <v>Pre-DER   CFM 50</v>
      </c>
      <c r="L7" s="11" t="str">
        <f>VLOOKUP($B7,'BaseLine Data'!$B7:$AQ21,20,FALSE)</f>
        <v>Post-DER CFM 50</v>
      </c>
      <c r="M7" s="11" t="str">
        <f>VLOOKUP($B7,'BaseLine Data'!$B7:$AQ21,21,FALSE)</f>
        <v xml:space="preserve">Pre-DER   ACH 50 </v>
      </c>
      <c r="N7" s="11" t="str">
        <f>VLOOKUP($B7,'BaseLine Data'!$B7:$AQ21,22,FALSE)</f>
        <v xml:space="preserve">Post-DER ACH 50 </v>
      </c>
      <c r="O7" s="11" t="str">
        <f>VLOOKUP($B7,'BaseLine Data'!$B7:$AQ21,25,FALSE)</f>
        <v>Pre-DER CFM/sf Conditioned floor area</v>
      </c>
      <c r="P7" s="11" t="str">
        <f>VLOOKUP($B7,'BaseLine Data'!$B7:$AQ21,26,FALSE)</f>
        <v>Post-DER CFM/sf Conditioned floor area</v>
      </c>
      <c r="Q7" s="11" t="str">
        <f>VLOOKUP($B7,'BaseLine Data'!$B7:$AQ21,35,FALSE)</f>
        <v>Min monthly site MMBtu</v>
      </c>
      <c r="R7" s="11" t="str">
        <f>VLOOKUP($B7,'BaseLine Data'!$B7:$AQ21,36,FALSE)</f>
        <v>Min monthly source MMBtu</v>
      </c>
      <c r="S7" s="11" t="str">
        <f>VLOOKUP($B7,'BaseLine Data'!$B7:$AQ21,29,FALSE)</f>
        <v>12 months site MMBtu</v>
      </c>
      <c r="T7" s="11" t="str">
        <f>VLOOKUP($B7,'BaseLine Data'!$B7:$AQ21,30,FALSE)</f>
        <v>12 months source MMBtu</v>
      </c>
      <c r="U7" s="11" t="s">
        <v>56</v>
      </c>
      <c r="V7" s="11" t="s">
        <v>57</v>
      </c>
      <c r="W7" s="58" t="s">
        <v>61</v>
      </c>
      <c r="X7" s="58" t="s">
        <v>62</v>
      </c>
      <c r="Y7" s="11" t="str">
        <f>VLOOKUP($B7,'BaseLine Data'!$B7:$AQ21,32,FALSE)</f>
        <v>6 months site MMBtu</v>
      </c>
      <c r="Z7" s="11" t="str">
        <f>VLOOKUP($B7,'BaseLine Data'!$B7:$AQ21,33,FALSE)</f>
        <v>6 months source MMBtu</v>
      </c>
      <c r="AA7" s="11" t="s">
        <v>55</v>
      </c>
      <c r="AB7" s="11" t="s">
        <v>58</v>
      </c>
      <c r="AC7" s="58" t="s">
        <v>60</v>
      </c>
      <c r="AD7" s="58" t="s">
        <v>59</v>
      </c>
      <c r="AE7" s="58" t="s">
        <v>197</v>
      </c>
      <c r="AF7" s="56" t="s">
        <v>91</v>
      </c>
      <c r="AG7" s="56" t="s">
        <v>63</v>
      </c>
      <c r="AH7" s="56" t="s">
        <v>64</v>
      </c>
      <c r="AI7" s="56" t="s">
        <v>145</v>
      </c>
    </row>
    <row r="8" spans="1:35" ht="71.25">
      <c r="A8" s="9"/>
      <c r="B8" s="49" t="s">
        <v>23</v>
      </c>
      <c r="C8" s="50"/>
      <c r="D8" s="50"/>
      <c r="E8" s="50"/>
      <c r="F8" s="50"/>
      <c r="G8" s="50"/>
      <c r="H8" s="50"/>
      <c r="I8" s="51"/>
      <c r="J8" s="52"/>
      <c r="K8" s="53"/>
      <c r="L8" s="53"/>
      <c r="M8" s="54"/>
      <c r="N8" s="41"/>
      <c r="O8" s="53"/>
      <c r="P8" s="41"/>
      <c r="Q8" s="57"/>
      <c r="R8" s="57"/>
    </row>
    <row r="9" spans="1:35" ht="30">
      <c r="A9" s="10" t="s">
        <v>24</v>
      </c>
      <c r="B9" s="11" t="s">
        <v>30</v>
      </c>
      <c r="C9" s="11">
        <f>VLOOKUP($B9,'BaseLine Data'!$B9:$AQ21,2,FALSE)</f>
        <v>2</v>
      </c>
      <c r="D9" s="11" t="str">
        <f>VLOOKUP($B9,'BaseLine Data'!$B9:$AQ21,3,FALSE)</f>
        <v>Arlington</v>
      </c>
      <c r="E9" s="11">
        <f>VLOOKUP($B9,'BaseLine Data'!$B9:$AQ21,4,FALSE)</f>
        <v>2112</v>
      </c>
      <c r="F9" s="11">
        <f>VLOOKUP($B9,'BaseLine Data'!$B9:$AQ21,2,FALSE)</f>
        <v>2</v>
      </c>
      <c r="G9" s="11">
        <f>VLOOKUP($B9,'BaseLine Data'!$B9:$AQ21,6,FALSE)</f>
        <v>2</v>
      </c>
      <c r="H9" s="11">
        <f>VLOOKUP($B9,'BaseLine Data'!$B9:$AQ21,7,FALSE)</f>
        <v>1910</v>
      </c>
      <c r="I9" s="11">
        <f>VLOOKUP($B9,'BaseLine Data'!$B9:$AQ21,13,FALSE)</f>
        <v>2502</v>
      </c>
      <c r="J9" s="11">
        <f>VLOOKUP($B9,'BaseLine Data'!$B9:$AQ21,14,FALSE)</f>
        <v>3627</v>
      </c>
      <c r="K9" s="11">
        <f>VLOOKUP($B9,'BaseLine Data'!$B9:$AQ21,19,FALSE)</f>
        <v>8730</v>
      </c>
      <c r="L9" s="11">
        <f>VLOOKUP($B9,'BaseLine Data'!$B9:$AQ21,20,FALSE)</f>
        <v>3586</v>
      </c>
      <c r="M9" s="47">
        <f>VLOOKUP($B9,'BaseLine Data'!$B9:$AQ21,21,FALSE)</f>
        <v>25.986009822890313</v>
      </c>
      <c r="N9" s="47">
        <f>VLOOKUP($B9,'BaseLine Data'!$B9:$AQ21,22,FALSE)</f>
        <v>7.2571505666486775</v>
      </c>
      <c r="O9" s="47">
        <f>VLOOKUP($B9,'BaseLine Data'!$B9:$AQ21,25,FALSE)</f>
        <v>3.4892086330935252</v>
      </c>
      <c r="P9" s="47">
        <f>VLOOKUP($B9,'BaseLine Data'!$B9:$AQ21,26,FALSE)</f>
        <v>0.98869589192169838</v>
      </c>
      <c r="Q9" s="47">
        <f>VLOOKUP($B9,'BaseLine Data'!$B9:$AQ21,35,FALSE)</f>
        <v>4.1500000000000004</v>
      </c>
      <c r="R9" s="47">
        <f>VLOOKUP($B9,'BaseLine Data'!$B9:$AQ21,36,FALSE)</f>
        <v>10.76</v>
      </c>
      <c r="S9" s="40">
        <f>VLOOKUP($B9,'BaseLine Data'!$B9:$AQ21,29,FALSE)</f>
        <v>100.75</v>
      </c>
      <c r="T9" s="40">
        <f>VLOOKUP($B9,'BaseLine Data'!$B9:$AQ21,30,FALSE)</f>
        <v>216.58</v>
      </c>
      <c r="U9" s="48">
        <f t="shared" ref="U9:U21" si="0">S9 - 12*MIN(Q9,S9)</f>
        <v>50.949999999999996</v>
      </c>
      <c r="V9" s="48">
        <f t="shared" ref="V9:V21" si="1">T9 - 12*MIN(R9,T9)</f>
        <v>87.460000000000008</v>
      </c>
      <c r="W9" s="59">
        <f t="shared" ref="W9:W21" si="2">1000*U9/J9</f>
        <v>14.047422111938239</v>
      </c>
      <c r="X9" s="59">
        <f t="shared" ref="X9:X21" si="3">1000*V9/J9</f>
        <v>24.113592500689279</v>
      </c>
      <c r="Y9" s="40">
        <f>VLOOKUP($B9,'BaseLine Data'!$B9:$AQ21,32,FALSE)</f>
        <v>44.42</v>
      </c>
      <c r="Z9" s="48">
        <f>VLOOKUP($B9,'BaseLine Data'!$B9:$AQ21,33,FALSE)</f>
        <v>91.72</v>
      </c>
      <c r="AA9" s="59">
        <f t="shared" ref="AA9:AA21" si="4">Y9-6*Q9</f>
        <v>19.52</v>
      </c>
      <c r="AB9" s="59">
        <f t="shared" ref="AB9:AB21" si="5">Z9-6*R9</f>
        <v>27.159999999999997</v>
      </c>
      <c r="AC9" s="59">
        <f t="shared" ref="AC9:AC21" si="6">1000*AA9/J9</f>
        <v>5.3818582850840917</v>
      </c>
      <c r="AD9" s="59">
        <f t="shared" ref="AD9:AD21" si="7">1000*AB9/J9</f>
        <v>7.4882823269920031</v>
      </c>
      <c r="AE9" s="59">
        <f>IF(X9&lt;&gt;0,X9-AD9,0)</f>
        <v>16.625310173697276</v>
      </c>
      <c r="AF9">
        <v>1</v>
      </c>
      <c r="AG9">
        <v>1</v>
      </c>
      <c r="AH9">
        <v>3</v>
      </c>
      <c r="AI9">
        <v>1</v>
      </c>
    </row>
    <row r="10" spans="1:35">
      <c r="A10" s="10" t="s">
        <v>24</v>
      </c>
      <c r="B10" s="17" t="s">
        <v>36</v>
      </c>
      <c r="C10" s="11">
        <f>VLOOKUP($B10,'BaseLine Data'!$B9:$AQ21,2,FALSE)</f>
        <v>1</v>
      </c>
      <c r="D10" s="11" t="str">
        <f>VLOOKUP($B10,'BaseLine Data'!$B9:$AQ21,3,FALSE)</f>
        <v>Brookline</v>
      </c>
      <c r="E10" s="11">
        <f>VLOOKUP($B10,'BaseLine Data'!$B9:$AQ21,4,FALSE)</f>
        <v>2284</v>
      </c>
      <c r="F10" s="11">
        <f>VLOOKUP($B10,'BaseLine Data'!$B9:$AQ21,2,FALSE)</f>
        <v>1</v>
      </c>
      <c r="G10" s="11">
        <f>VLOOKUP($B10,'BaseLine Data'!$B9:$AQ21,6,FALSE)</f>
        <v>3</v>
      </c>
      <c r="H10" s="11">
        <f>VLOOKUP($B10,'BaseLine Data'!$B9:$AQ21,7,FALSE)</f>
        <v>1899</v>
      </c>
      <c r="I10" s="11">
        <f>VLOOKUP($B10,'BaseLine Data'!$B9:$AQ21,13,FALSE)</f>
        <v>3078</v>
      </c>
      <c r="J10" s="11">
        <f>VLOOKUP($B10,'BaseLine Data'!$B9:$AQ21,14,FALSE)</f>
        <v>3174</v>
      </c>
      <c r="K10" s="11">
        <f>VLOOKUP($B10,'BaseLine Data'!$B9:$AQ21,19,FALSE)</f>
        <v>1640</v>
      </c>
      <c r="L10" s="11">
        <f>VLOOKUP($B10,'BaseLine Data'!$B9:$AQ21,20,FALSE)</f>
        <v>655</v>
      </c>
      <c r="M10" s="47">
        <f>VLOOKUP($B10,'BaseLine Data'!$B9:$AQ21,21,FALSE)</f>
        <v>3.7575896437163481</v>
      </c>
      <c r="N10" s="47">
        <f>VLOOKUP($B10,'BaseLine Data'!$B9:$AQ21,22,FALSE)</f>
        <v>1.5007446442891512</v>
      </c>
      <c r="O10" s="47">
        <f>VLOOKUP($B10,'BaseLine Data'!$B9:$AQ21,25,FALSE)</f>
        <v>0.53281351526965559</v>
      </c>
      <c r="P10" s="47">
        <f>VLOOKUP($B10,'BaseLine Data'!$B9:$AQ21,26,FALSE)</f>
        <v>0.20636420919974796</v>
      </c>
      <c r="Q10" s="47">
        <f>VLOOKUP($B10,'BaseLine Data'!$B9:$AQ21,35,FALSE)</f>
        <v>2.27</v>
      </c>
      <c r="R10" s="47">
        <f>VLOOKUP($B10,'BaseLine Data'!$B9:$AQ21,36,FALSE)</f>
        <v>4.37</v>
      </c>
      <c r="S10" s="40">
        <f>VLOOKUP($B10,'BaseLine Data'!$B9:$AQ21,29,FALSE)</f>
        <v>0</v>
      </c>
      <c r="T10" s="40">
        <f>VLOOKUP($B10,'BaseLine Data'!$B9:$AQ21,30,FALSE)</f>
        <v>0</v>
      </c>
      <c r="U10" s="48">
        <f t="shared" si="0"/>
        <v>0</v>
      </c>
      <c r="V10" s="48">
        <f t="shared" si="1"/>
        <v>0</v>
      </c>
      <c r="W10" s="59">
        <f t="shared" si="2"/>
        <v>0</v>
      </c>
      <c r="X10" s="59">
        <f t="shared" si="3"/>
        <v>0</v>
      </c>
      <c r="Y10" s="40">
        <f>VLOOKUP($B10,'BaseLine Data'!$B9:$AQ21,32,FALSE)</f>
        <v>28.04</v>
      </c>
      <c r="Z10" s="48">
        <f>VLOOKUP($B10,'BaseLine Data'!$B9:$AQ21,33,FALSE)</f>
        <v>43.43</v>
      </c>
      <c r="AA10" s="59">
        <f t="shared" si="4"/>
        <v>14.419999999999998</v>
      </c>
      <c r="AB10" s="59">
        <f t="shared" si="5"/>
        <v>17.21</v>
      </c>
      <c r="AC10" s="59">
        <f t="shared" si="6"/>
        <v>4.5431632010081913</v>
      </c>
      <c r="AD10" s="59">
        <f t="shared" si="7"/>
        <v>5.4221802142407061</v>
      </c>
      <c r="AE10" s="59">
        <f t="shared" ref="AE10:AE21" si="8">IF(X10&lt;&gt;0,X10-AD10,0)</f>
        <v>0</v>
      </c>
      <c r="AF10">
        <v>1</v>
      </c>
      <c r="AG10">
        <v>4</v>
      </c>
      <c r="AH10">
        <v>1</v>
      </c>
      <c r="AI10">
        <v>2</v>
      </c>
    </row>
    <row r="11" spans="1:35" ht="30">
      <c r="A11" s="10" t="s">
        <v>24</v>
      </c>
      <c r="B11" s="11" t="s">
        <v>26</v>
      </c>
      <c r="C11" s="11">
        <f>VLOOKUP($B11,'BaseLine Data'!$B9:$AQ21,2,FALSE)</f>
        <v>2</v>
      </c>
      <c r="D11" s="11" t="str">
        <f>VLOOKUP($B11,'BaseLine Data'!$B9:$AQ21,3,FALSE)</f>
        <v>Belmont</v>
      </c>
      <c r="E11" s="11">
        <f>VLOOKUP($B11,'BaseLine Data'!$B9:$AQ21,4,FALSE)</f>
        <v>2728</v>
      </c>
      <c r="F11" s="11">
        <f>VLOOKUP($B11,'BaseLine Data'!$B9:$AQ21,2,FALSE)</f>
        <v>2</v>
      </c>
      <c r="G11" s="11">
        <f>VLOOKUP($B11,'BaseLine Data'!$B9:$AQ21,6,FALSE)</f>
        <v>3</v>
      </c>
      <c r="H11" s="11">
        <f>VLOOKUP($B11,'BaseLine Data'!$B9:$AQ21,7,FALSE)</f>
        <v>1925</v>
      </c>
      <c r="I11" s="11">
        <f>VLOOKUP($B11,'BaseLine Data'!$B9:$AQ21,13,FALSE)</f>
        <v>3417</v>
      </c>
      <c r="J11" s="11">
        <f>VLOOKUP($B11,'BaseLine Data'!$B9:$AQ21,14,FALSE)</f>
        <v>4768</v>
      </c>
      <c r="K11" s="11">
        <f>VLOOKUP($B11,'BaseLine Data'!$B9:$AQ21,19,FALSE)</f>
        <v>5700</v>
      </c>
      <c r="L11" s="11">
        <f>VLOOKUP($B11,'BaseLine Data'!$B9:$AQ21,20,FALSE)</f>
        <v>590</v>
      </c>
      <c r="M11" s="47">
        <f>VLOOKUP($B11,'BaseLine Data'!$B9:$AQ21,21,FALSE)</f>
        <v>9.2687950566426363</v>
      </c>
      <c r="N11" s="47">
        <f>VLOOKUP($B11,'BaseLine Data'!$B9:$AQ21,22,FALSE)</f>
        <v>0.74204502578292031</v>
      </c>
      <c r="O11" s="47">
        <f>VLOOKUP($B11,'BaseLine Data'!$B9:$AQ21,25,FALSE)</f>
        <v>1.6681299385425812</v>
      </c>
      <c r="P11" s="47">
        <f>VLOOKUP($B11,'BaseLine Data'!$B9:$AQ21,26,FALSE)</f>
        <v>0.12374161073825503</v>
      </c>
      <c r="Q11" s="47">
        <f>VLOOKUP($B11,'BaseLine Data'!$B9:$AQ21,35,FALSE)</f>
        <v>2.46</v>
      </c>
      <c r="R11" s="47">
        <f>VLOOKUP($B11,'BaseLine Data'!$B9:$AQ21,36,FALSE)</f>
        <v>8.11</v>
      </c>
      <c r="S11" s="40">
        <f>VLOOKUP($B11,'BaseLine Data'!$B9:$AQ21,29,FALSE)</f>
        <v>59.36</v>
      </c>
      <c r="T11" s="40">
        <f>VLOOKUP($B11,'BaseLine Data'!$B9:$AQ21,30,FALSE)</f>
        <v>151.47999999999999</v>
      </c>
      <c r="U11" s="48">
        <f t="shared" si="0"/>
        <v>29.84</v>
      </c>
      <c r="V11" s="48">
        <f t="shared" si="1"/>
        <v>54.16</v>
      </c>
      <c r="W11" s="59">
        <f t="shared" si="2"/>
        <v>6.2583892617449663</v>
      </c>
      <c r="X11" s="59">
        <f t="shared" si="3"/>
        <v>11.359060402684564</v>
      </c>
      <c r="Y11" s="40">
        <f>VLOOKUP($B11,'BaseLine Data'!$B9:$AQ21,32,FALSE)</f>
        <v>28.94</v>
      </c>
      <c r="Z11" s="48">
        <f>VLOOKUP($B11,'BaseLine Data'!$B9:$AQ21,33,FALSE)</f>
        <v>77.39</v>
      </c>
      <c r="AA11" s="59">
        <f t="shared" si="4"/>
        <v>14.180000000000001</v>
      </c>
      <c r="AB11" s="59">
        <f t="shared" si="5"/>
        <v>28.730000000000004</v>
      </c>
      <c r="AC11" s="59">
        <f t="shared" si="6"/>
        <v>2.9739932885906044</v>
      </c>
      <c r="AD11" s="59">
        <f t="shared" si="7"/>
        <v>6.0255872483221484</v>
      </c>
      <c r="AE11" s="59">
        <f t="shared" si="8"/>
        <v>5.3334731543624159</v>
      </c>
      <c r="AF11">
        <v>2</v>
      </c>
      <c r="AG11">
        <v>4</v>
      </c>
      <c r="AH11">
        <v>1</v>
      </c>
      <c r="AI11">
        <v>2</v>
      </c>
    </row>
    <row r="12" spans="1:35">
      <c r="A12" s="10" t="s">
        <v>24</v>
      </c>
      <c r="B12" s="11" t="s">
        <v>37</v>
      </c>
      <c r="C12" s="11">
        <f>VLOOKUP($B12,'BaseLine Data'!$B9:$AQ21,2,FALSE)</f>
        <v>1</v>
      </c>
      <c r="D12" s="11" t="str">
        <f>VLOOKUP($B12,'BaseLine Data'!$B9:$AQ21,3,FALSE)</f>
        <v>Westford</v>
      </c>
      <c r="E12" s="11">
        <f>VLOOKUP($B12,'BaseLine Data'!$B9:$AQ21,4,FALSE)</f>
        <v>2906</v>
      </c>
      <c r="F12" s="11">
        <f>VLOOKUP($B12,'BaseLine Data'!$B9:$AQ21,2,FALSE)</f>
        <v>1</v>
      </c>
      <c r="G12" s="11">
        <f>VLOOKUP($B12,'BaseLine Data'!$B9:$AQ21,6,FALSE)</f>
        <v>2</v>
      </c>
      <c r="H12" s="11">
        <f>VLOOKUP($B12,'BaseLine Data'!$B9:$AQ21,7,FALSE)</f>
        <v>1993</v>
      </c>
      <c r="I12" s="11">
        <f>VLOOKUP($B12,'BaseLine Data'!$B9:$AQ21,13,FALSE)</f>
        <v>2906</v>
      </c>
      <c r="J12" s="11">
        <f>VLOOKUP($B12,'BaseLine Data'!$B9:$AQ21,14,FALSE)</f>
        <v>3955</v>
      </c>
      <c r="K12" s="11">
        <f>VLOOKUP($B12,'BaseLine Data'!$B9:$AQ21,19,FALSE)</f>
        <v>2592</v>
      </c>
      <c r="L12" s="11">
        <f>VLOOKUP($B12,'BaseLine Data'!$B9:$AQ21,20,FALSE)</f>
        <v>930</v>
      </c>
      <c r="M12" s="47">
        <f>VLOOKUP($B12,'BaseLine Data'!$B9:$AQ21,21,FALSE)</f>
        <v>4.8259169614596908</v>
      </c>
      <c r="N12" s="47">
        <f>VLOOKUP($B12,'BaseLine Data'!$B9:$AQ21,22,FALSE)</f>
        <v>1.2546374367622262</v>
      </c>
      <c r="O12" s="47">
        <f>VLOOKUP($B12,'BaseLine Data'!$B9:$AQ21,25,FALSE)</f>
        <v>0.89194769442532695</v>
      </c>
      <c r="P12" s="47">
        <f>VLOOKUP($B12,'BaseLine Data'!$B9:$AQ21,26,FALSE)</f>
        <v>0.23514538558786346</v>
      </c>
      <c r="Q12" s="47">
        <f>VLOOKUP($B12,'BaseLine Data'!$B9:$AQ21,35,FALSE)</f>
        <v>4.2300000000000004</v>
      </c>
      <c r="R12" s="47">
        <f>VLOOKUP($B12,'BaseLine Data'!$B9:$AQ21,36,FALSE)</f>
        <v>9.76</v>
      </c>
      <c r="S12" s="40">
        <f>VLOOKUP($B12,'BaseLine Data'!$B9:$AQ21,29,FALSE)</f>
        <v>0</v>
      </c>
      <c r="T12" s="40">
        <f>VLOOKUP($B12,'BaseLine Data'!$B9:$AQ21,30,FALSE)</f>
        <v>0</v>
      </c>
      <c r="U12" s="48">
        <f t="shared" si="0"/>
        <v>0</v>
      </c>
      <c r="V12" s="48">
        <f t="shared" si="1"/>
        <v>0</v>
      </c>
      <c r="W12" s="59">
        <f t="shared" si="2"/>
        <v>0</v>
      </c>
      <c r="X12" s="59">
        <f t="shared" si="3"/>
        <v>0</v>
      </c>
      <c r="Y12" s="40">
        <f>VLOOKUP($B12,'BaseLine Data'!$B9:$AQ21,32,FALSE)</f>
        <v>56.66</v>
      </c>
      <c r="Z12" s="48">
        <f>VLOOKUP($B12,'BaseLine Data'!$B9:$AQ21,33,FALSE)</f>
        <v>103.25</v>
      </c>
      <c r="AA12" s="59">
        <f t="shared" si="4"/>
        <v>31.279999999999994</v>
      </c>
      <c r="AB12" s="59">
        <f t="shared" si="5"/>
        <v>44.69</v>
      </c>
      <c r="AC12" s="59">
        <f t="shared" si="6"/>
        <v>7.9089759797724382</v>
      </c>
      <c r="AD12" s="59">
        <f t="shared" si="7"/>
        <v>11.299620733249052</v>
      </c>
      <c r="AE12" s="59">
        <f t="shared" si="8"/>
        <v>0</v>
      </c>
      <c r="AF12">
        <v>1</v>
      </c>
      <c r="AG12">
        <v>2</v>
      </c>
      <c r="AH12">
        <v>3</v>
      </c>
      <c r="AI12">
        <v>2</v>
      </c>
    </row>
    <row r="13" spans="1:35" ht="30">
      <c r="A13" s="10" t="s">
        <v>24</v>
      </c>
      <c r="B13" s="11" t="s">
        <v>34</v>
      </c>
      <c r="C13" s="11">
        <f>VLOOKUP($B13,'BaseLine Data'!$B9:$AQ21,2,FALSE)</f>
        <v>1</v>
      </c>
      <c r="D13" s="11" t="str">
        <f>VLOOKUP($B13,'BaseLine Data'!$B9:$AQ21,3,FALSE)</f>
        <v>Northampton</v>
      </c>
      <c r="E13" s="11">
        <f>VLOOKUP($B13,'BaseLine Data'!$B9:$AQ21,4,FALSE)</f>
        <v>2032</v>
      </c>
      <c r="F13" s="11">
        <f>VLOOKUP($B13,'BaseLine Data'!$B9:$AQ21,2,FALSE)</f>
        <v>1</v>
      </c>
      <c r="G13" s="11">
        <f>VLOOKUP($B13,'BaseLine Data'!$B9:$AQ21,6,FALSE)</f>
        <v>1</v>
      </c>
      <c r="H13" s="11">
        <f>VLOOKUP($B13,'BaseLine Data'!$B9:$AQ21,7,FALSE)</f>
        <v>1859</v>
      </c>
      <c r="I13" s="11">
        <f>VLOOKUP($B13,'BaseLine Data'!$B9:$AQ21,13,FALSE)</f>
        <v>2032</v>
      </c>
      <c r="J13" s="11">
        <f>VLOOKUP($B13,'BaseLine Data'!$B9:$AQ21,14,FALSE)</f>
        <v>2747</v>
      </c>
      <c r="K13" s="11">
        <f>VLOOKUP($B13,'BaseLine Data'!$B9:$AQ21,19,FALSE)</f>
        <v>6155</v>
      </c>
      <c r="L13" s="11">
        <f>VLOOKUP($B13,'BaseLine Data'!$B9:$AQ21,20,FALSE)</f>
        <v>473</v>
      </c>
      <c r="M13" s="47">
        <f>VLOOKUP($B13,'BaseLine Data'!$B9:$AQ21,21,FALSE)</f>
        <v>0</v>
      </c>
      <c r="N13" s="47">
        <f>VLOOKUP($B13,'BaseLine Data'!$B9:$AQ21,22,FALSE)</f>
        <v>0.81966266173752311</v>
      </c>
      <c r="O13" s="47">
        <f>VLOOKUP($B13,'BaseLine Data'!$B9:$AQ21,25,FALSE)</f>
        <v>3.0290354330708662</v>
      </c>
      <c r="P13" s="47">
        <f>VLOOKUP($B13,'BaseLine Data'!$B9:$AQ21,26,FALSE)</f>
        <v>0.17218784128139789</v>
      </c>
      <c r="Q13" s="47">
        <f>VLOOKUP($B13,'BaseLine Data'!$B9:$AQ21,35,FALSE)</f>
        <v>1.61</v>
      </c>
      <c r="R13" s="47">
        <f>VLOOKUP($B13,'BaseLine Data'!$B9:$AQ21,36,FALSE)</f>
        <v>5.37</v>
      </c>
      <c r="S13" s="40">
        <f>VLOOKUP($B13,'BaseLine Data'!$B9:$AQ21,29,FALSE)</f>
        <v>26.27</v>
      </c>
      <c r="T13" s="40">
        <f>VLOOKUP($B13,'BaseLine Data'!$B9:$AQ21,30,FALSE)</f>
        <v>87.74</v>
      </c>
      <c r="U13" s="48">
        <f t="shared" si="0"/>
        <v>6.9499999999999993</v>
      </c>
      <c r="V13" s="48">
        <f t="shared" si="1"/>
        <v>23.299999999999997</v>
      </c>
      <c r="W13" s="59">
        <f t="shared" si="2"/>
        <v>2.530032763014197</v>
      </c>
      <c r="X13" s="59">
        <f t="shared" si="3"/>
        <v>8.4819803421914806</v>
      </c>
      <c r="Y13" s="40">
        <f>VLOOKUP($B13,'BaseLine Data'!$B9:$AQ21,32,FALSE)</f>
        <v>12.38</v>
      </c>
      <c r="Z13" s="48">
        <f>VLOOKUP($B13,'BaseLine Data'!$B9:$AQ21,33,FALSE)</f>
        <v>41.35</v>
      </c>
      <c r="AA13" s="59">
        <f t="shared" si="4"/>
        <v>2.7200000000000006</v>
      </c>
      <c r="AB13" s="59">
        <f t="shared" si="5"/>
        <v>9.1300000000000026</v>
      </c>
      <c r="AC13" s="59">
        <f t="shared" si="6"/>
        <v>0.9901710957408083</v>
      </c>
      <c r="AD13" s="59">
        <f t="shared" si="7"/>
        <v>3.3236257735711692</v>
      </c>
      <c r="AE13" s="59">
        <f t="shared" si="8"/>
        <v>5.1583545686203109</v>
      </c>
      <c r="AF13">
        <v>2</v>
      </c>
      <c r="AG13">
        <v>4</v>
      </c>
      <c r="AH13">
        <v>3</v>
      </c>
      <c r="AI13">
        <v>3</v>
      </c>
    </row>
    <row r="14" spans="1:35">
      <c r="A14" s="10" t="s">
        <v>24</v>
      </c>
      <c r="B14" s="11" t="s">
        <v>29</v>
      </c>
      <c r="C14" s="11">
        <f>VLOOKUP($B14,'BaseLine Data'!$B9:$AQ21,2,FALSE)</f>
        <v>1</v>
      </c>
      <c r="D14" s="11" t="str">
        <f>VLOOKUP($B14,'BaseLine Data'!$B9:$AY21,3,FALSE)</f>
        <v>Quincy</v>
      </c>
      <c r="E14" s="11">
        <f>VLOOKUP($B14,'BaseLine Data'!$B9:$AY21,4,FALSE)</f>
        <v>1808</v>
      </c>
      <c r="F14" s="11">
        <f>VLOOKUP($B14,'BaseLine Data'!$B9:$AQ21,2,FALSE)</f>
        <v>1</v>
      </c>
      <c r="G14" s="11">
        <f>VLOOKUP($B14,'BaseLine Data'!$B9:$AQ21,6,FALSE)</f>
        <v>1.5</v>
      </c>
      <c r="H14" s="11">
        <f>VLOOKUP($B14,'BaseLine Data'!$B9:$AQ21,7,FALSE)</f>
        <v>1905</v>
      </c>
      <c r="I14" s="11">
        <f>VLOOKUP($B14,'BaseLine Data'!$B9:$AQ21,13,FALSE)</f>
        <v>3484</v>
      </c>
      <c r="J14" s="11">
        <f>VLOOKUP($B14,'BaseLine Data'!$B9:$AQ21,14,FALSE)</f>
        <v>4576</v>
      </c>
      <c r="K14" s="11">
        <f>VLOOKUP($B14,'BaseLine Data'!$B9:$AQ21,19,FALSE)</f>
        <v>5050</v>
      </c>
      <c r="L14" s="11">
        <f>VLOOKUP($B14,'BaseLine Data'!$B9:$AQ21,20,FALSE)</f>
        <v>762</v>
      </c>
      <c r="M14" s="47">
        <f>VLOOKUP($B14,'BaseLine Data'!$B9:$AQ21,21,FALSE)</f>
        <v>18.53</v>
      </c>
      <c r="N14" s="47">
        <f>VLOOKUP($B14,'BaseLine Data'!$B9:$AQ21,22,FALSE)</f>
        <v>1.2579100863919002</v>
      </c>
      <c r="O14" s="47">
        <f>VLOOKUP($B14,'BaseLine Data'!$B9:$AQ21,25,FALSE)</f>
        <v>1.4494833524684272</v>
      </c>
      <c r="P14" s="47">
        <f>VLOOKUP($B14,'BaseLine Data'!$B9:$AQ21,26,FALSE)</f>
        <v>0.16652097902097901</v>
      </c>
      <c r="Q14" s="47">
        <f>VLOOKUP($B14,'BaseLine Data'!$B9:$AQ21,35,FALSE)</f>
        <v>2.92</v>
      </c>
      <c r="R14" s="47">
        <f>VLOOKUP($B14,'BaseLine Data'!$B9:$AQ21,36,FALSE)</f>
        <v>8.16</v>
      </c>
      <c r="S14" s="40">
        <f>VLOOKUP($B14,'BaseLine Data'!$B9:$AQ21,29,FALSE)</f>
        <v>59.97</v>
      </c>
      <c r="T14" s="40">
        <f>VLOOKUP($B14,'BaseLine Data'!$B9:$AQ21,30,FALSE)</f>
        <v>140.22</v>
      </c>
      <c r="U14" s="48">
        <f t="shared" si="0"/>
        <v>24.93</v>
      </c>
      <c r="V14" s="48">
        <f t="shared" si="1"/>
        <v>42.3</v>
      </c>
      <c r="W14" s="59">
        <f t="shared" si="2"/>
        <v>5.4479895104895109</v>
      </c>
      <c r="X14" s="59">
        <f t="shared" si="3"/>
        <v>9.2438811188811183</v>
      </c>
      <c r="Y14" s="40">
        <f>VLOOKUP($B14,'BaseLine Data'!$B9:$AQ21,32,FALSE)</f>
        <v>29.67</v>
      </c>
      <c r="Z14" s="48">
        <f>VLOOKUP($B14,'BaseLine Data'!$B9:$AQ21,33,FALSE)</f>
        <v>69.75</v>
      </c>
      <c r="AA14" s="59">
        <f t="shared" si="4"/>
        <v>12.150000000000002</v>
      </c>
      <c r="AB14" s="59">
        <f t="shared" si="5"/>
        <v>20.79</v>
      </c>
      <c r="AC14" s="59">
        <f t="shared" si="6"/>
        <v>2.6551573426573429</v>
      </c>
      <c r="AD14" s="59">
        <f t="shared" si="7"/>
        <v>4.5432692307692308</v>
      </c>
      <c r="AE14" s="59">
        <f t="shared" si="8"/>
        <v>4.7006118881118875</v>
      </c>
      <c r="AF14">
        <v>2</v>
      </c>
      <c r="AG14">
        <v>4</v>
      </c>
      <c r="AH14">
        <v>3</v>
      </c>
      <c r="AI14">
        <v>3</v>
      </c>
    </row>
    <row r="15" spans="1:35">
      <c r="A15" s="10" t="s">
        <v>24</v>
      </c>
      <c r="B15" s="11" t="s">
        <v>25</v>
      </c>
      <c r="C15" s="11">
        <f>VLOOKUP($B15,'BaseLine Data'!$B9:$AQ21,2,FALSE)</f>
        <v>1</v>
      </c>
      <c r="D15" s="11" t="str">
        <f>VLOOKUP($B15,'BaseLine Data'!$B9:$AQ21,3,FALSE)</f>
        <v>Belchertown</v>
      </c>
      <c r="E15" s="11">
        <f>VLOOKUP($B15,'BaseLine Data'!$B9:$AQ21,4,FALSE)</f>
        <v>1352</v>
      </c>
      <c r="F15" s="11">
        <f>VLOOKUP($B15,'BaseLine Data'!$B9:$AQ21,2,FALSE)</f>
        <v>1</v>
      </c>
      <c r="G15" s="11">
        <f>VLOOKUP($B15,'BaseLine Data'!$B9:$AQ21,6,FALSE)</f>
        <v>1.5</v>
      </c>
      <c r="H15" s="11">
        <f>VLOOKUP($B15,'BaseLine Data'!$B9:$AQ21,7,FALSE)</f>
        <v>1760</v>
      </c>
      <c r="I15" s="11">
        <f>VLOOKUP($B15,'BaseLine Data'!$B9:$AQ21,13,FALSE)</f>
        <v>1435</v>
      </c>
      <c r="J15" s="11">
        <f>VLOOKUP($B15,'BaseLine Data'!$B9:$AQ21,14,FALSE)</f>
        <v>1907</v>
      </c>
      <c r="K15" s="11">
        <f>VLOOKUP($B15,'BaseLine Data'!$B9:$AQ21,19,FALSE)</f>
        <v>9079</v>
      </c>
      <c r="L15" s="11">
        <f>VLOOKUP($B15,'BaseLine Data'!$B9:$AQ21,20,FALSE)</f>
        <v>468</v>
      </c>
      <c r="M15" s="47">
        <f>VLOOKUP($B15,'BaseLine Data'!$B9:$AQ21,21,FALSE)</f>
        <v>57.656646909398809</v>
      </c>
      <c r="N15" s="47">
        <f>VLOOKUP($B15,'BaseLine Data'!$B9:$AQ21,22,FALSE)</f>
        <v>1.8755009350788139</v>
      </c>
      <c r="O15" s="47">
        <f>VLOOKUP($B15,'BaseLine Data'!$B9:$AQ21,25,FALSE)</f>
        <v>6.3268292682926832</v>
      </c>
      <c r="P15" s="47">
        <f>VLOOKUP($B15,'BaseLine Data'!$B9:$AQ21,26,FALSE)</f>
        <v>0.2454116413214473</v>
      </c>
      <c r="Q15" s="47">
        <f>VLOOKUP($B15,'BaseLine Data'!$B9:$AQ21,35,FALSE)</f>
        <v>1.04</v>
      </c>
      <c r="R15" s="47">
        <f>VLOOKUP($B15,'BaseLine Data'!$B9:$AQ21,36,FALSE)</f>
        <v>2</v>
      </c>
      <c r="S15" s="40">
        <f>VLOOKUP($B15,'BaseLine Data'!$B9:$AQ21,29,FALSE)</f>
        <v>37.130000000000003</v>
      </c>
      <c r="T15" s="40">
        <f>VLOOKUP($B15,'BaseLine Data'!$B9:$AQ21,30,FALSE)</f>
        <v>52.4</v>
      </c>
      <c r="U15" s="48">
        <f t="shared" si="0"/>
        <v>24.650000000000002</v>
      </c>
      <c r="V15" s="48">
        <f t="shared" si="1"/>
        <v>28.4</v>
      </c>
      <c r="W15" s="59">
        <f t="shared" si="2"/>
        <v>12.926061877294181</v>
      </c>
      <c r="X15" s="59">
        <f t="shared" si="3"/>
        <v>14.892501310959622</v>
      </c>
      <c r="Y15" s="40">
        <f>VLOOKUP($B15,'BaseLine Data'!$B9:$AQ21,32,FALSE)</f>
        <v>15.1</v>
      </c>
      <c r="Z15" s="48">
        <f>VLOOKUP($B15,'BaseLine Data'!$B9:$AQ21,33,FALSE)</f>
        <v>22.29</v>
      </c>
      <c r="AA15" s="59">
        <f t="shared" si="4"/>
        <v>8.86</v>
      </c>
      <c r="AB15" s="59">
        <f t="shared" si="5"/>
        <v>10.29</v>
      </c>
      <c r="AC15" s="59">
        <f t="shared" si="6"/>
        <v>4.6460409019402205</v>
      </c>
      <c r="AD15" s="59">
        <f t="shared" si="7"/>
        <v>5.3959098059779755</v>
      </c>
      <c r="AE15" s="59">
        <f t="shared" si="8"/>
        <v>9.4965915049816463</v>
      </c>
      <c r="AF15">
        <v>1</v>
      </c>
      <c r="AG15">
        <v>4</v>
      </c>
      <c r="AH15">
        <v>1</v>
      </c>
      <c r="AI15">
        <v>3</v>
      </c>
    </row>
    <row r="16" spans="1:35" ht="90">
      <c r="A16" s="10" t="s">
        <v>24</v>
      </c>
      <c r="B16" s="11" t="s">
        <v>35</v>
      </c>
      <c r="C16" s="11">
        <f>VLOOKUP($B16,'BaseLine Data'!$B9:$AQ21,2,FALSE)</f>
        <v>1</v>
      </c>
      <c r="D16" s="11" t="str">
        <f>VLOOKUP($B16,'BaseLine Data'!$B9:$AQ21,3,FALSE)</f>
        <v>Lancaster</v>
      </c>
      <c r="E16" s="11">
        <f>VLOOKUP($B16,'BaseLine Data'!$B9:$AQ21,4,FALSE)</f>
        <v>908</v>
      </c>
      <c r="F16" s="11">
        <f>VLOOKUP($B16,'BaseLine Data'!$B9:$AQ21,2,FALSE)</f>
        <v>1</v>
      </c>
      <c r="G16" s="11">
        <f>VLOOKUP($B16,'BaseLine Data'!$B9:$AQ21,6,FALSE)</f>
        <v>2</v>
      </c>
      <c r="H16" s="11">
        <f>VLOOKUP($B16,'BaseLine Data'!$B9:$AQ21,7,FALSE)</f>
        <v>1900</v>
      </c>
      <c r="I16" s="11">
        <f>VLOOKUP($B16,'BaseLine Data'!$B9:$AQ21,13,FALSE)</f>
        <v>980</v>
      </c>
      <c r="J16" s="11">
        <f>VLOOKUP($B16,'BaseLine Data'!$B9:$AQ21,14,FALSE)</f>
        <v>1440</v>
      </c>
      <c r="K16" s="11">
        <f>VLOOKUP($B16,'BaseLine Data'!$B9:$AQ21,19,FALSE)</f>
        <v>4254</v>
      </c>
      <c r="L16" s="11">
        <f>VLOOKUP($B16,'BaseLine Data'!$B9:$AQ21,20,FALSE)</f>
        <v>293</v>
      </c>
      <c r="M16" s="47">
        <f>VLOOKUP($B16,'BaseLine Data'!$B9:$AQ21,21,FALSE)</f>
        <v>36.050847457627121</v>
      </c>
      <c r="N16" s="47">
        <f>VLOOKUP($B16,'BaseLine Data'!$B9:$AQ21,22,FALSE)</f>
        <v>1.4250972762645915</v>
      </c>
      <c r="O16" s="47">
        <f>VLOOKUP($B16,'BaseLine Data'!$B9:$AQ21,25,FALSE)</f>
        <v>4.3408163265306126</v>
      </c>
      <c r="P16" s="47">
        <f>VLOOKUP($B16,'BaseLine Data'!$B9:$AQ21,26,FALSE)</f>
        <v>0.20347222222222222</v>
      </c>
      <c r="Q16" s="47">
        <f>VLOOKUP($B16,'BaseLine Data'!$B9:$AQ21,35,FALSE)</f>
        <v>3.3</v>
      </c>
      <c r="R16" s="47">
        <f>VLOOKUP($B16,'BaseLine Data'!$B9:$AQ21,36,FALSE)</f>
        <v>6.98</v>
      </c>
      <c r="S16" s="40">
        <f>VLOOKUP($B16,'BaseLine Data'!$B9:$AQ21,29,FALSE)</f>
        <v>0</v>
      </c>
      <c r="T16" s="40">
        <f>VLOOKUP($B16,'BaseLine Data'!$B9:$AQ21,30,FALSE)</f>
        <v>0</v>
      </c>
      <c r="U16" s="48">
        <f t="shared" si="0"/>
        <v>0</v>
      </c>
      <c r="V16" s="48">
        <f t="shared" si="1"/>
        <v>0</v>
      </c>
      <c r="W16" s="59">
        <f t="shared" si="2"/>
        <v>0</v>
      </c>
      <c r="X16" s="59">
        <f t="shared" si="3"/>
        <v>0</v>
      </c>
      <c r="Y16" s="40">
        <f>VLOOKUP($B16,'BaseLine Data'!$B9:$AQ21,32,FALSE)</f>
        <v>22.26</v>
      </c>
      <c r="Z16" s="48">
        <f>VLOOKUP($B16,'BaseLine Data'!$B9:$AQ21,33,FALSE)</f>
        <v>50.03</v>
      </c>
      <c r="AA16" s="59">
        <f t="shared" si="4"/>
        <v>2.4600000000000044</v>
      </c>
      <c r="AB16" s="59">
        <f t="shared" si="5"/>
        <v>8.1499999999999986</v>
      </c>
      <c r="AC16" s="59">
        <f t="shared" si="6"/>
        <v>1.7083333333333366</v>
      </c>
      <c r="AD16" s="59">
        <f t="shared" si="7"/>
        <v>5.6597222222222205</v>
      </c>
      <c r="AE16" s="59">
        <f t="shared" si="8"/>
        <v>0</v>
      </c>
      <c r="AF16" s="10">
        <v>1</v>
      </c>
      <c r="AG16" s="10">
        <v>4</v>
      </c>
      <c r="AH16" s="10">
        <v>3</v>
      </c>
      <c r="AI16" s="10">
        <v>3</v>
      </c>
    </row>
    <row r="17" spans="1:35" ht="30">
      <c r="A17" s="10" t="s">
        <v>24</v>
      </c>
      <c r="B17" s="11" t="s">
        <v>38</v>
      </c>
      <c r="C17" s="11">
        <f>VLOOKUP($B17,'BaseLine Data'!$B9:$AQ21,2,FALSE)</f>
        <v>1</v>
      </c>
      <c r="D17" s="11" t="str">
        <f>VLOOKUP($B17,'BaseLine Data'!$B9:$AQ21,3,FALSE)</f>
        <v>Gloucester</v>
      </c>
      <c r="E17" s="11">
        <f>VLOOKUP($B17,'BaseLine Data'!$B9:$AQ21,4,FALSE)</f>
        <v>2171</v>
      </c>
      <c r="F17" s="11">
        <f>VLOOKUP($B17,'BaseLine Data'!$B9:$AQ21,2,FALSE)</f>
        <v>1</v>
      </c>
      <c r="G17" s="11">
        <f>VLOOKUP($B17,'BaseLine Data'!$B9:$AQ21,6,FALSE)</f>
        <v>2</v>
      </c>
      <c r="H17" s="11">
        <f>VLOOKUP($B17,'BaseLine Data'!$B9:$AQ21,7,FALSE)</f>
        <v>1920</v>
      </c>
      <c r="I17" s="11">
        <f>VLOOKUP($B17,'BaseLine Data'!$B9:$AQ21,13,FALSE)</f>
        <v>2171</v>
      </c>
      <c r="J17" s="11">
        <f>VLOOKUP($B17,'BaseLine Data'!$B9:$AQ21,14,FALSE)</f>
        <v>2424</v>
      </c>
      <c r="K17" s="11">
        <f>VLOOKUP($B17,'BaseLine Data'!$B9:$AQ21,19,FALSE)</f>
        <v>2258</v>
      </c>
      <c r="L17" s="11">
        <f>VLOOKUP($B17,'BaseLine Data'!$B9:$AQ21,20,FALSE)</f>
        <v>235</v>
      </c>
      <c r="M17" s="47" t="e">
        <f>VLOOKUP($B17,'BaseLine Data'!$B9:$AQ21,21,FALSE)</f>
        <v>#DIV/0!</v>
      </c>
      <c r="N17" s="47">
        <f>VLOOKUP($B17,'BaseLine Data'!$B9:$AQ21,22,FALSE)</f>
        <v>0.60554004724071286</v>
      </c>
      <c r="O17" s="47">
        <f>VLOOKUP($B17,'BaseLine Data'!$B9:$AQ21,25,FALSE)</f>
        <v>1.0400736987563335</v>
      </c>
      <c r="P17" s="47">
        <f>VLOOKUP($B17,'BaseLine Data'!$B9:$AQ21,26,FALSE)</f>
        <v>9.6947194719471941E-2</v>
      </c>
      <c r="Q17" s="47">
        <f>VLOOKUP($B17,'BaseLine Data'!$B9:$AQ21,35,FALSE)</f>
        <v>2.4700000000000002</v>
      </c>
      <c r="R17" s="47">
        <f>VLOOKUP($B17,'BaseLine Data'!$B9:$AQ21,36,FALSE)</f>
        <v>8.24</v>
      </c>
      <c r="S17" s="40">
        <f>VLOOKUP($B17,'BaseLine Data'!$B9:$AQ21,29,FALSE)</f>
        <v>0</v>
      </c>
      <c r="T17" s="40">
        <f>VLOOKUP($B17,'BaseLine Data'!$B9:$AQ21,30,FALSE)</f>
        <v>0</v>
      </c>
      <c r="U17" s="48">
        <f t="shared" si="0"/>
        <v>0</v>
      </c>
      <c r="V17" s="48">
        <f t="shared" si="1"/>
        <v>0</v>
      </c>
      <c r="W17" s="59">
        <f t="shared" si="2"/>
        <v>0</v>
      </c>
      <c r="X17" s="59">
        <f t="shared" si="3"/>
        <v>0</v>
      </c>
      <c r="Y17" s="40">
        <f>VLOOKUP($B17,'BaseLine Data'!$B9:$AQ21,32,FALSE)</f>
        <v>19.55</v>
      </c>
      <c r="Z17" s="48">
        <f>VLOOKUP($B17,'BaseLine Data'!$B9:$AQ21,33,FALSE)</f>
        <v>65.28</v>
      </c>
      <c r="AA17" s="59">
        <f t="shared" si="4"/>
        <v>4.7300000000000004</v>
      </c>
      <c r="AB17" s="59">
        <f t="shared" si="5"/>
        <v>15.840000000000003</v>
      </c>
      <c r="AC17" s="59">
        <f t="shared" si="6"/>
        <v>1.9513201320132014</v>
      </c>
      <c r="AD17" s="59">
        <f t="shared" si="7"/>
        <v>6.534653465346536</v>
      </c>
      <c r="AE17" s="59">
        <f t="shared" si="8"/>
        <v>0</v>
      </c>
      <c r="AF17">
        <v>2</v>
      </c>
      <c r="AG17">
        <v>2</v>
      </c>
      <c r="AH17">
        <v>1</v>
      </c>
      <c r="AI17">
        <v>3</v>
      </c>
    </row>
    <row r="18" spans="1:35">
      <c r="A18" s="10" t="s">
        <v>24</v>
      </c>
      <c r="B18" s="11" t="s">
        <v>28</v>
      </c>
      <c r="C18" s="11">
        <f>VLOOKUP($B18,'BaseLine Data'!$B9:$AQ21,2,FALSE)</f>
        <v>1</v>
      </c>
      <c r="D18" s="11" t="str">
        <f>VLOOKUP($B18,'BaseLine Data'!$B9:$AQ21,3,FALSE)</f>
        <v>Milton</v>
      </c>
      <c r="E18" s="11">
        <f>VLOOKUP($B18,'BaseLine Data'!$B9:$AQ21,4,FALSE)</f>
        <v>1600</v>
      </c>
      <c r="F18" s="11">
        <f>VLOOKUP($B18,'BaseLine Data'!$B9:$AQ21,2,FALSE)</f>
        <v>1</v>
      </c>
      <c r="G18" s="11">
        <f>VLOOKUP($B18,'BaseLine Data'!$B9:$AQ21,6,FALSE)</f>
        <v>2</v>
      </c>
      <c r="H18" s="11">
        <f>VLOOKUP($B18,'BaseLine Data'!$B9:$AQ21,7,FALSE)</f>
        <v>1960</v>
      </c>
      <c r="I18" s="11">
        <f>VLOOKUP($B18,'BaseLine Data'!$B9:$AQ21,13,FALSE)</f>
        <v>2368</v>
      </c>
      <c r="J18" s="11">
        <f>VLOOKUP($B18,'BaseLine Data'!$B9:$AQ21,14,FALSE)</f>
        <v>2368</v>
      </c>
      <c r="K18" s="11">
        <f>VLOOKUP($B18,'BaseLine Data'!$B9:$AQ21,19,FALSE)</f>
        <v>1695</v>
      </c>
      <c r="L18" s="11">
        <f>VLOOKUP($B18,'BaseLine Data'!$B9:$AQ21,20,FALSE)</f>
        <v>584</v>
      </c>
      <c r="M18" s="47">
        <f>VLOOKUP($B18,'BaseLine Data'!$B9:$AQ21,21,FALSE)</f>
        <v>4.5285337703049304</v>
      </c>
      <c r="N18" s="47">
        <f>VLOOKUP($B18,'BaseLine Data'!$B9:$AQ21,22,FALSE)</f>
        <v>1.4326835012429675</v>
      </c>
      <c r="O18" s="47">
        <f>VLOOKUP($B18,'BaseLine Data'!$B9:$AQ21,25,FALSE)</f>
        <v>0.71579391891891897</v>
      </c>
      <c r="P18" s="47">
        <f>VLOOKUP($B18,'BaseLine Data'!$B9:$AQ21,26,FALSE)</f>
        <v>0.24662162162162163</v>
      </c>
      <c r="Q18" s="47">
        <f>VLOOKUP($B18,'BaseLine Data'!$B9:$AQ21,35,FALSE)</f>
        <v>2.4700000000000002</v>
      </c>
      <c r="R18" s="47">
        <f>VLOOKUP($B18,'BaseLine Data'!$B9:$AQ21,36,FALSE)</f>
        <v>5.74</v>
      </c>
      <c r="S18" s="40">
        <f>VLOOKUP($B18,'BaseLine Data'!$B9:$AQ21,29,FALSE)</f>
        <v>53.59</v>
      </c>
      <c r="T18" s="40">
        <f>VLOOKUP($B18,'BaseLine Data'!$B9:$AQ21,30,FALSE)</f>
        <v>108.13</v>
      </c>
      <c r="U18" s="48">
        <f t="shared" si="0"/>
        <v>23.950000000000003</v>
      </c>
      <c r="V18" s="48">
        <f t="shared" si="1"/>
        <v>39.25</v>
      </c>
      <c r="W18" s="59">
        <f t="shared" si="2"/>
        <v>10.114020270270272</v>
      </c>
      <c r="X18" s="59">
        <f t="shared" si="3"/>
        <v>16.575168918918919</v>
      </c>
      <c r="Y18" s="40">
        <f>VLOOKUP($B18,'BaseLine Data'!$B9:$AQ21,32,FALSE)</f>
        <v>26.05</v>
      </c>
      <c r="Z18" s="48">
        <f>VLOOKUP($B18,'BaseLine Data'!$B9:$AQ21,33,FALSE)</f>
        <v>50.54</v>
      </c>
      <c r="AA18" s="59">
        <f t="shared" si="4"/>
        <v>11.23</v>
      </c>
      <c r="AB18" s="59">
        <f t="shared" si="5"/>
        <v>16.100000000000001</v>
      </c>
      <c r="AC18" s="59">
        <f t="shared" si="6"/>
        <v>4.7423986486486482</v>
      </c>
      <c r="AD18" s="59">
        <f t="shared" si="7"/>
        <v>6.7989864864864868</v>
      </c>
      <c r="AE18" s="59">
        <f t="shared" si="8"/>
        <v>9.7761824324324316</v>
      </c>
      <c r="AF18">
        <v>1</v>
      </c>
      <c r="AG18">
        <v>3</v>
      </c>
      <c r="AH18">
        <v>1</v>
      </c>
      <c r="AI18">
        <v>3</v>
      </c>
    </row>
    <row r="19" spans="1:35">
      <c r="A19" s="10" t="s">
        <v>31</v>
      </c>
      <c r="B19" s="11" t="s">
        <v>33</v>
      </c>
      <c r="C19" s="11">
        <f>VLOOKUP($B19,'BaseLine Data'!$B9:$AQ21,2,FALSE)</f>
        <v>3</v>
      </c>
      <c r="D19" s="11" t="str">
        <f>VLOOKUP($B19,'BaseLine Data'!$B9:$AQ21,3,FALSE)</f>
        <v>Jamaica Plain</v>
      </c>
      <c r="E19" s="11">
        <f>VLOOKUP($B19,'BaseLine Data'!$B9:$AQ21,4,FALSE)</f>
        <v>3885</v>
      </c>
      <c r="F19" s="11">
        <f>VLOOKUP($B19,'BaseLine Data'!$B9:$AQ21,2,FALSE)</f>
        <v>3</v>
      </c>
      <c r="G19" s="11">
        <f>VLOOKUP($B19,'BaseLine Data'!$B9:$AQ21,6,FALSE)</f>
        <v>3</v>
      </c>
      <c r="H19" s="11">
        <f>VLOOKUP($B19,'BaseLine Data'!$B9:$AQ21,7,FALSE)</f>
        <v>1907</v>
      </c>
      <c r="I19" s="11">
        <f>VLOOKUP($B19,'BaseLine Data'!$B9:$AQ21,13,FALSE)</f>
        <v>3885</v>
      </c>
      <c r="J19" s="11">
        <f>VLOOKUP($B19,'BaseLine Data'!$B9:$AQ21,14,FALSE)</f>
        <v>3885</v>
      </c>
      <c r="K19" s="11">
        <f>VLOOKUP($B19,'BaseLine Data'!$B9:$AQ21,19,FALSE)</f>
        <v>7729</v>
      </c>
      <c r="L19" s="11">
        <f>VLOOKUP($B19,'BaseLine Data'!$B9:$AQ21,20,FALSE)</f>
        <v>1802</v>
      </c>
      <c r="M19" s="47">
        <f>VLOOKUP($B19,'BaseLine Data'!$B9:$AQ21,21,FALSE)</f>
        <v>10.889494199971821</v>
      </c>
      <c r="N19" s="47">
        <f>VLOOKUP($B19,'BaseLine Data'!$B9:$AQ21,22,FALSE)</f>
        <v>2.5388625369839852</v>
      </c>
      <c r="O19" s="47">
        <f>VLOOKUP($B19,'BaseLine Data'!$B9:$AQ21,25,FALSE)</f>
        <v>1.9894465894465894</v>
      </c>
      <c r="P19" s="47">
        <f>VLOOKUP($B19,'BaseLine Data'!$B9:$AQ21,26,FALSE)</f>
        <v>0.46383526383526386</v>
      </c>
      <c r="Q19" s="47">
        <f>VLOOKUP($B19,'BaseLine Data'!$B9:$AQ21,35,FALSE)</f>
        <v>4.38</v>
      </c>
      <c r="R19" s="47">
        <f>VLOOKUP($B19,'BaseLine Data'!$B9:$AQ21,36,FALSE)</f>
        <v>8.08</v>
      </c>
      <c r="S19" s="40">
        <f>VLOOKUP($B19,'BaseLine Data'!$B9:$AQ21,29,FALSE)</f>
        <v>100.8</v>
      </c>
      <c r="T19" s="40">
        <f>VLOOKUP($B19,'BaseLine Data'!$B9:$AQ21,30,FALSE)</f>
        <v>153.69999999999999</v>
      </c>
      <c r="U19" s="48">
        <f t="shared" si="0"/>
        <v>48.239999999999995</v>
      </c>
      <c r="V19" s="48">
        <f t="shared" si="1"/>
        <v>56.739999999999981</v>
      </c>
      <c r="W19" s="59">
        <f t="shared" si="2"/>
        <v>12.416988416988415</v>
      </c>
      <c r="X19" s="59">
        <f t="shared" si="3"/>
        <v>14.604890604890599</v>
      </c>
      <c r="Y19" s="40">
        <f>VLOOKUP($B19,'BaseLine Data'!$B9:$AQ21,32,FALSE)</f>
        <v>50.35</v>
      </c>
      <c r="Z19" s="48">
        <f>VLOOKUP($B19,'BaseLine Data'!$B9:$AQ21,33,FALSE)</f>
        <v>75.52</v>
      </c>
      <c r="AA19" s="59">
        <f t="shared" si="4"/>
        <v>24.07</v>
      </c>
      <c r="AB19" s="59">
        <f t="shared" si="5"/>
        <v>27.039999999999992</v>
      </c>
      <c r="AC19" s="59">
        <f t="shared" si="6"/>
        <v>6.1956241956241955</v>
      </c>
      <c r="AD19" s="59">
        <f t="shared" si="7"/>
        <v>6.960102960102958</v>
      </c>
      <c r="AE19" s="59">
        <f t="shared" si="8"/>
        <v>7.6447876447876411</v>
      </c>
      <c r="AF19">
        <v>1</v>
      </c>
      <c r="AG19">
        <v>4</v>
      </c>
      <c r="AH19">
        <v>1</v>
      </c>
      <c r="AI19">
        <v>3</v>
      </c>
    </row>
    <row r="20" spans="1:35">
      <c r="A20" s="10" t="s">
        <v>24</v>
      </c>
      <c r="B20" s="11" t="s">
        <v>32</v>
      </c>
      <c r="C20" s="11">
        <f>VLOOKUP($B20,'BaseLine Data'!$B9:$AQ21,2,FALSE)</f>
        <v>1</v>
      </c>
      <c r="D20" s="11" t="str">
        <f>VLOOKUP($B20,'BaseLine Data'!$B9:$AQ21,3,FALSE)</f>
        <v>Newton</v>
      </c>
      <c r="E20" s="11">
        <f>VLOOKUP($B20,'BaseLine Data'!$B9:$AQ21,4,FALSE)</f>
        <v>1724</v>
      </c>
      <c r="F20" s="11">
        <f>VLOOKUP($B20,'BaseLine Data'!$B9:$AQ21,2,FALSE)</f>
        <v>1</v>
      </c>
      <c r="G20" s="11">
        <f>VLOOKUP($B20,'BaseLine Data'!$B9:$AQ21,6,FALSE)</f>
        <v>1</v>
      </c>
      <c r="H20" s="11">
        <f>VLOOKUP($B20,'BaseLine Data'!$B9:$AQ21,7,FALSE)</f>
        <v>1930</v>
      </c>
      <c r="I20" s="11">
        <f>VLOOKUP($B20,'BaseLine Data'!$B9:$AQ21,13,FALSE)</f>
        <v>1815</v>
      </c>
      <c r="J20" s="11">
        <f>VLOOKUP($B20,'BaseLine Data'!$B9:$AQ21,14,FALSE)</f>
        <v>2199</v>
      </c>
      <c r="K20" s="11">
        <f>VLOOKUP($B20,'BaseLine Data'!$B9:$AQ21,19,FALSE)</f>
        <v>3199</v>
      </c>
      <c r="L20" s="11">
        <f>VLOOKUP($B20,'BaseLine Data'!$B9:$AQ21,20,FALSE)</f>
        <v>1299</v>
      </c>
      <c r="M20" s="47">
        <f>VLOOKUP($B20,'BaseLine Data'!$B9:$AQ21,21,FALSE)</f>
        <v>10.192767245499441</v>
      </c>
      <c r="N20" s="47">
        <f>VLOOKUP($B20,'BaseLine Data'!$B9:$AQ21,22,FALSE)</f>
        <v>3.558254200146092</v>
      </c>
      <c r="O20" s="47">
        <f>VLOOKUP($B20,'BaseLine Data'!$B9:$AQ21,25,FALSE)</f>
        <v>1.7625344352617081</v>
      </c>
      <c r="P20" s="47">
        <f>VLOOKUP($B20,'BaseLine Data'!$B9:$AQ21,26,FALSE)</f>
        <v>0.59072305593451568</v>
      </c>
      <c r="Q20" s="47">
        <f>VLOOKUP($B20,'BaseLine Data'!$B9:$AQ21,35,FALSE)</f>
        <v>2.59</v>
      </c>
      <c r="R20" s="47">
        <f>VLOOKUP($B20,'BaseLine Data'!$B9:$AQ21,36,FALSE)</f>
        <v>6.25</v>
      </c>
      <c r="S20" s="40">
        <f>VLOOKUP($B20,'BaseLine Data'!$B9:$AQ21,29,FALSE)</f>
        <v>66.16</v>
      </c>
      <c r="T20" s="40">
        <f>VLOOKUP($B20,'BaseLine Data'!$B9:$AQ21,30,FALSE)</f>
        <v>125.36</v>
      </c>
      <c r="U20" s="48">
        <f t="shared" si="0"/>
        <v>35.08</v>
      </c>
      <c r="V20" s="48">
        <f t="shared" si="1"/>
        <v>50.36</v>
      </c>
      <c r="W20" s="59">
        <f t="shared" si="2"/>
        <v>15.952705775352433</v>
      </c>
      <c r="X20" s="59">
        <f t="shared" si="3"/>
        <v>22.901318781264212</v>
      </c>
      <c r="Y20" s="40">
        <f>VLOOKUP($B20,'BaseLine Data'!$B9:$AQ21,32,FALSE)</f>
        <v>28.33</v>
      </c>
      <c r="Z20" s="48">
        <f>VLOOKUP($B20,'BaseLine Data'!$B9:$AQ21,33,FALSE)</f>
        <v>55.42</v>
      </c>
      <c r="AA20" s="59">
        <f t="shared" si="4"/>
        <v>12.79</v>
      </c>
      <c r="AB20" s="59">
        <f t="shared" si="5"/>
        <v>17.920000000000002</v>
      </c>
      <c r="AC20" s="59">
        <f t="shared" si="6"/>
        <v>5.8162801273306046</v>
      </c>
      <c r="AD20" s="59">
        <f t="shared" si="7"/>
        <v>8.1491587085038653</v>
      </c>
      <c r="AE20" s="59">
        <f t="shared" si="8"/>
        <v>14.752160072760347</v>
      </c>
      <c r="AF20">
        <v>2</v>
      </c>
      <c r="AG20">
        <v>4</v>
      </c>
      <c r="AH20">
        <v>2</v>
      </c>
      <c r="AI20">
        <v>3</v>
      </c>
    </row>
    <row r="21" spans="1:35">
      <c r="A21" s="10" t="s">
        <v>24</v>
      </c>
      <c r="B21" s="11" t="s">
        <v>27</v>
      </c>
      <c r="C21" s="11">
        <f>VLOOKUP($B21,'BaseLine Data'!$B9:$AQ21,2,FALSE)</f>
        <v>1</v>
      </c>
      <c r="D21" s="11" t="str">
        <f>VLOOKUP($B21,'BaseLine Data'!$B9:$AQ21,3,FALSE)</f>
        <v>Millbury</v>
      </c>
      <c r="E21" s="11">
        <f>VLOOKUP($B21,'BaseLine Data'!$B9:$AQ21,4,FALSE)</f>
        <v>1100</v>
      </c>
      <c r="F21" s="11">
        <f>VLOOKUP($B21,'BaseLine Data'!$B9:$AQ21,2,FALSE)</f>
        <v>1</v>
      </c>
      <c r="G21" s="11">
        <f>VLOOKUP($B21,'BaseLine Data'!$B9:$AQ21,6,FALSE)</f>
        <v>1.5</v>
      </c>
      <c r="H21" s="11">
        <f>VLOOKUP($B21,'BaseLine Data'!$B9:$AQ21,7,FALSE)</f>
        <v>1953</v>
      </c>
      <c r="I21" s="11">
        <f>VLOOKUP($B21,'BaseLine Data'!$B9:$AQ21,13,FALSE)</f>
        <v>1868</v>
      </c>
      <c r="J21" s="11">
        <f>VLOOKUP($B21,'BaseLine Data'!$B9:$AQ21,14,FALSE)</f>
        <v>1868</v>
      </c>
      <c r="K21" s="11">
        <f>VLOOKUP($B21,'BaseLine Data'!$B9:$AQ21,19,FALSE)</f>
        <v>2860</v>
      </c>
      <c r="L21" s="11">
        <f>VLOOKUP($B21,'BaseLine Data'!$B9:$AQ21,20,FALSE)</f>
        <v>402</v>
      </c>
      <c r="M21" s="47">
        <f>VLOOKUP($B21,'BaseLine Data'!$B9:$AQ21,21,FALSE)</f>
        <v>10.4</v>
      </c>
      <c r="N21" s="47">
        <f>VLOOKUP($B21,'BaseLine Data'!$B9:$AQ21,22,FALSE)</f>
        <v>1.4188235294117648</v>
      </c>
      <c r="O21" s="47">
        <f>VLOOKUP($B21,'BaseLine Data'!$B9:$AQ21,25,FALSE)</f>
        <v>1.5310492505353319</v>
      </c>
      <c r="P21" s="47">
        <f>VLOOKUP($B21,'BaseLine Data'!$B9:$AQ21,26,FALSE)</f>
        <v>0.21520342612419699</v>
      </c>
      <c r="Q21" s="47">
        <f>VLOOKUP($B21,'BaseLine Data'!$B9:$AQ21,35,FALSE)</f>
        <v>2.34</v>
      </c>
      <c r="R21" s="47">
        <f>VLOOKUP($B21,'BaseLine Data'!$B9:$AQ21,36,FALSE)</f>
        <v>6.58</v>
      </c>
      <c r="S21" s="40">
        <f>VLOOKUP($B21,'BaseLine Data'!$B9:$AQ21,29,FALSE)</f>
        <v>45.04</v>
      </c>
      <c r="T21" s="40">
        <f>VLOOKUP($B21,'BaseLine Data'!$B9:$AQ21,30,FALSE)</f>
        <v>129.72999999999999</v>
      </c>
      <c r="U21" s="48">
        <f t="shared" si="0"/>
        <v>16.96</v>
      </c>
      <c r="V21" s="48">
        <f t="shared" si="1"/>
        <v>50.769999999999982</v>
      </c>
      <c r="W21" s="59">
        <f t="shared" si="2"/>
        <v>9.0792291220556738</v>
      </c>
      <c r="X21" s="59">
        <f t="shared" si="3"/>
        <v>27.178800856531041</v>
      </c>
      <c r="Y21" s="40">
        <f>VLOOKUP($B21,'BaseLine Data'!$B9:$AQ21,32,FALSE)</f>
        <v>21.26</v>
      </c>
      <c r="Z21" s="48">
        <f>VLOOKUP($B21,'BaseLine Data'!$B9:$AQ21,33,FALSE)</f>
        <v>62.9</v>
      </c>
      <c r="AA21" s="59">
        <f t="shared" si="4"/>
        <v>7.2200000000000024</v>
      </c>
      <c r="AB21" s="59">
        <f t="shared" si="5"/>
        <v>23.419999999999995</v>
      </c>
      <c r="AC21" s="59">
        <f t="shared" si="6"/>
        <v>3.8650963597430423</v>
      </c>
      <c r="AD21" s="59">
        <f t="shared" si="7"/>
        <v>12.537473233404709</v>
      </c>
      <c r="AE21" s="59">
        <f t="shared" si="8"/>
        <v>14.641327623126331</v>
      </c>
      <c r="AF21">
        <v>2</v>
      </c>
      <c r="AG21">
        <v>2</v>
      </c>
      <c r="AH21">
        <v>2</v>
      </c>
      <c r="AI21">
        <v>3</v>
      </c>
    </row>
    <row r="22" spans="1:35">
      <c r="V22" t="s">
        <v>236</v>
      </c>
      <c r="X22" s="59">
        <f>X11</f>
        <v>11.359060402684564</v>
      </c>
      <c r="AC22" t="s">
        <v>236</v>
      </c>
      <c r="AD22" s="59">
        <f>AVERAGEA(AD10:AD12)</f>
        <v>7.5824627319373024</v>
      </c>
      <c r="AE22" s="59"/>
    </row>
    <row r="23" spans="1:35">
      <c r="B23" s="39"/>
      <c r="J23" s="38"/>
      <c r="L23" s="37"/>
      <c r="M23" s="35"/>
      <c r="N23" s="37"/>
      <c r="P23" s="35"/>
      <c r="Q23" s="35"/>
      <c r="R23" s="35"/>
      <c r="V23" t="s">
        <v>237</v>
      </c>
      <c r="X23" s="59">
        <f>AVERAGEA(X13:X15,X18:X21)</f>
        <v>16.268363133376713</v>
      </c>
      <c r="AC23" t="s">
        <v>237</v>
      </c>
      <c r="AD23" s="59">
        <f>AVERAGEA(AD13:AD21)</f>
        <v>6.6558779873761278</v>
      </c>
      <c r="AE23" s="59"/>
    </row>
    <row r="24" spans="1:35">
      <c r="B24" s="39"/>
      <c r="L24" s="37"/>
      <c r="M24" s="37"/>
      <c r="N24" s="37"/>
    </row>
    <row r="25" spans="1:35">
      <c r="B25" s="39"/>
      <c r="L25" s="37"/>
      <c r="M25" s="35"/>
      <c r="N25" s="37"/>
    </row>
    <row r="26" spans="1:35">
      <c r="B26" s="39"/>
      <c r="L26" s="37"/>
      <c r="M26" s="37"/>
      <c r="N26" s="37"/>
    </row>
  </sheetData>
  <sortState ref="B9:AI21">
    <sortCondition ref="AI9:AI21"/>
    <sortCondition ref="AD9:AD21"/>
  </sortState>
  <dataValidations disablePrompts="1" count="2">
    <dataValidation type="list" allowBlank="1" showInputMessage="1" showErrorMessage="1" sqref="WVG9:WVH21 WLK9:WLL21 WBO9:WBP21 VRS9:VRT21 VHW9:VHX21 UYA9:UYB21 UOE9:UOF21 UEI9:UEJ21 TUM9:TUN21 TKQ9:TKR21 TAU9:TAV21 SQY9:SQZ21 SHC9:SHD21 RXG9:RXH21 RNK9:RNL21 RDO9:RDP21 QTS9:QTT21 QJW9:QJX21 QAA9:QAB21 PQE9:PQF21 PGI9:PGJ21 OWM9:OWN21 OMQ9:OMR21 OCU9:OCV21 NSY9:NSZ21 NJC9:NJD21 MZG9:MZH21 MPK9:MPL21 MFO9:MFP21 LVS9:LVT21 LLW9:LLX21 LCA9:LCB21 KSE9:KSF21 KII9:KIJ21 JYM9:JYN21 JOQ9:JOR21 JEU9:JEV21 IUY9:IUZ21 ILC9:ILD21 IBG9:IBH21 HRK9:HRL21 HHO9:HHP21 GXS9:GXT21 GNW9:GNX21 GEA9:GEB21 FUE9:FUF21 FKI9:FKJ21 FAM9:FAN21 EQQ9:EQR21 EGU9:EGV21 DWY9:DWZ21 DNC9:DND21 DDG9:DDH21 CTK9:CTL21 CJO9:CJP21 BZS9:BZT21 BPW9:BPX21 BGA9:BGB21 AWE9:AWF21 AMI9:AMJ21 ACM9:ACN21 SQ9:SR21 IU9:IV21">
      <formula1>'[1]Project Statistics'!$M$74:$M$75</formula1>
    </dataValidation>
    <dataValidation type="list" allowBlank="1" showInputMessage="1" showErrorMessage="1" sqref="WVF9:WVF21 WLJ9:WLJ21 WBN9:WBN21 VRR9:VRR21 VHV9:VHV21 UXZ9:UXZ21 UOD9:UOD21 UEH9:UEH21 TUL9:TUL21 TKP9:TKP21 TAT9:TAT21 SQX9:SQX21 SHB9:SHB21 RXF9:RXF21 RNJ9:RNJ21 RDN9:RDN21 QTR9:QTR21 QJV9:QJV21 PZZ9:PZZ21 PQD9:PQD21 PGH9:PGH21 OWL9:OWL21 OMP9:OMP21 OCT9:OCT21 NSX9:NSX21 NJB9:NJB21 MZF9:MZF21 MPJ9:MPJ21 MFN9:MFN21 LVR9:LVR21 LLV9:LLV21 LBZ9:LBZ21 KSD9:KSD21 KIH9:KIH21 JYL9:JYL21 JOP9:JOP21 JET9:JET21 IUX9:IUX21 ILB9:ILB21 IBF9:IBF21 HRJ9:HRJ21 HHN9:HHN21 GXR9:GXR21 GNV9:GNV21 GDZ9:GDZ21 FUD9:FUD21 FKH9:FKH21 FAL9:FAL21 EQP9:EQP21 EGT9:EGT21 DWX9:DWX21 DNB9:DNB21 DDF9:DDF21 CTJ9:CTJ21 CJN9:CJN21 BZR9:BZR21 BPV9:BPV21 BFZ9:BFZ21 AWD9:AWD21 AMH9:AMH21 ACL9:ACL21 SP9:SP21 IT9:IT21">
      <formula1>'[1]Project Statistics'!$K$74:$K$79</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dimension ref="A7:AF26"/>
  <sheetViews>
    <sheetView topLeftCell="B16" zoomScale="130" zoomScaleNormal="130" workbookViewId="0">
      <pane xSplit="1" topLeftCell="AA1" activePane="topRight" state="frozen"/>
      <selection activeCell="B9" sqref="B9:X21"/>
      <selection pane="topRight" activeCell="N10" sqref="N10"/>
    </sheetView>
  </sheetViews>
  <sheetFormatPr defaultRowHeight="15"/>
  <cols>
    <col min="2" max="2" width="11.7109375" customWidth="1"/>
    <col min="3" max="3" width="8.7109375" customWidth="1"/>
    <col min="4" max="4" width="12.7109375" customWidth="1"/>
    <col min="6" max="6" width="11.5703125" customWidth="1"/>
    <col min="13" max="16" width="11.5703125" bestFit="1" customWidth="1"/>
    <col min="17" max="18" width="11.5703125" customWidth="1"/>
    <col min="26" max="26" width="11.5703125" bestFit="1" customWidth="1"/>
    <col min="27" max="31" width="11.5703125" customWidth="1"/>
  </cols>
  <sheetData>
    <row r="7" spans="1:32" ht="210.75" thickBot="1">
      <c r="B7" s="1" t="s">
        <v>0</v>
      </c>
      <c r="C7" s="11" t="str">
        <f>VLOOKUP($B7,'BaseLine Data'!$B7:$AQ21,2,FALSE)</f>
        <v>Number of Housing Units</v>
      </c>
      <c r="D7" s="11" t="str">
        <f>VLOOKUP($B7,'BaseLine Data'!$B7:$AQ21,3,FALSE)</f>
        <v>Location</v>
      </c>
      <c r="E7" s="11" t="str">
        <f>VLOOKUP($B7,'BaseLine Data'!$B7:$AQ21,4,FALSE)</f>
        <v>Pre-DER Cond. Floor Area
(sq.ft.)</v>
      </c>
      <c r="F7" s="11" t="str">
        <f>VLOOKUP($B7,'BaseLine Data'!$B7:$AQ21,2,FALSE)</f>
        <v>Number of Housing Units</v>
      </c>
      <c r="G7" s="11" t="str">
        <f>VLOOKUP($B7,'BaseLine Data'!$B7:$AQ21,6,FALSE)</f>
        <v>Stories</v>
      </c>
      <c r="H7" s="11" t="str">
        <f>VLOOKUP($B7,'BaseLine Data'!$B7:$AQ21,7,FALSE)</f>
        <v>Approx. Year Built</v>
      </c>
      <c r="I7" s="11" t="str">
        <f>VLOOKUP($B7,'BaseLine Data'!$B7:$AQ21,13,FALSE)</f>
        <v>Pre-DER Cond. Floor Area
(sq.ft.)</v>
      </c>
      <c r="J7" s="11" t="str">
        <f>VLOOKUP($B7,'BaseLine Data'!$B7:$AQ21,14,FALSE)</f>
        <v>Post-DER Con. Floor Area        (sq.ft.)</v>
      </c>
      <c r="K7" s="11" t="str">
        <f>VLOOKUP($B7,'BaseLine Data'!$B7:$AQ21,19,FALSE)</f>
        <v>Pre-DER   CFM 50</v>
      </c>
      <c r="L7" s="11" t="str">
        <f>VLOOKUP($B7,'BaseLine Data'!$B7:$AQ21,20,FALSE)</f>
        <v>Post-DER CFM 50</v>
      </c>
      <c r="M7" s="11" t="str">
        <f>VLOOKUP($B7,'BaseLine Data'!$B7:$AQ21,21,FALSE)</f>
        <v xml:space="preserve">Pre-DER   ACH 50 </v>
      </c>
      <c r="N7" s="11" t="str">
        <f>VLOOKUP($B7,'BaseLine Data'!$B7:$AQ21,22,FALSE)</f>
        <v xml:space="preserve">Post-DER ACH 50 </v>
      </c>
      <c r="O7" s="11" t="str">
        <f>VLOOKUP($B7,'BaseLine Data'!$B7:$AQ21,25,FALSE)</f>
        <v>Pre-DER CFM/sf Conditioned floor area</v>
      </c>
      <c r="P7" s="11" t="str">
        <f>VLOOKUP($B7,'BaseLine Data'!$B7:$AQ21,26,FALSE)</f>
        <v>Post-DER CFM/sf Conditioned floor area</v>
      </c>
      <c r="Q7" s="11" t="str">
        <f>VLOOKUP($B7,'BaseLine Data'!$B7:$AQ21,35,FALSE)</f>
        <v>Min monthly site MMBtu</v>
      </c>
      <c r="R7" s="11" t="str">
        <f>VLOOKUP($B7,'BaseLine Data'!$B7:$AQ21,36,FALSE)</f>
        <v>Min monthly source MMBtu</v>
      </c>
      <c r="S7" s="11" t="str">
        <f>VLOOKUP($B7,'BaseLine Data'!$B7:$AQ21,29,FALSE)</f>
        <v>12 months site MMBtu</v>
      </c>
      <c r="T7" s="11" t="str">
        <f>VLOOKUP($B7,'BaseLine Data'!$B7:$AQ21,30,FALSE)</f>
        <v>12 months source MMBtu</v>
      </c>
      <c r="U7" s="11" t="s">
        <v>56</v>
      </c>
      <c r="V7" s="11" t="s">
        <v>57</v>
      </c>
      <c r="W7" s="58" t="s">
        <v>61</v>
      </c>
      <c r="X7" s="58" t="s">
        <v>62</v>
      </c>
      <c r="Y7" s="11" t="str">
        <f>VLOOKUP($B7,'BaseLine Data'!$B7:$AQ21,32,FALSE)</f>
        <v>6 months site MMBtu</v>
      </c>
      <c r="Z7" s="11" t="str">
        <f>VLOOKUP($B7,'BaseLine Data'!$B7:$AQ21,33,FALSE)</f>
        <v>6 months source MMBtu</v>
      </c>
      <c r="AA7" s="11" t="s">
        <v>55</v>
      </c>
      <c r="AB7" s="11" t="s">
        <v>58</v>
      </c>
      <c r="AC7" s="58" t="s">
        <v>60</v>
      </c>
      <c r="AD7" s="58" t="s">
        <v>59</v>
      </c>
      <c r="AE7" s="58" t="s">
        <v>198</v>
      </c>
      <c r="AF7" s="56" t="s">
        <v>218</v>
      </c>
    </row>
    <row r="8" spans="1:32" ht="71.25">
      <c r="A8" s="9"/>
      <c r="B8" s="49" t="s">
        <v>23</v>
      </c>
      <c r="C8" s="50"/>
      <c r="D8" s="50"/>
      <c r="E8" s="50"/>
      <c r="F8" s="50"/>
      <c r="G8" s="50"/>
      <c r="H8" s="50"/>
      <c r="I8" s="51"/>
      <c r="J8" s="52"/>
      <c r="K8" s="53"/>
      <c r="L8" s="53"/>
      <c r="M8" s="54"/>
      <c r="N8" s="41"/>
      <c r="O8" s="53"/>
      <c r="P8" s="41"/>
      <c r="Q8" s="57"/>
      <c r="R8" s="57"/>
    </row>
    <row r="9" spans="1:32" ht="30">
      <c r="A9" s="10" t="s">
        <v>24</v>
      </c>
      <c r="B9" s="11" t="s">
        <v>34</v>
      </c>
      <c r="C9" s="11">
        <f>VLOOKUP($B9,'BaseLine Data'!$B9:$AQ21,2,FALSE)</f>
        <v>1</v>
      </c>
      <c r="D9" s="11" t="str">
        <f>VLOOKUP($B9,'BaseLine Data'!$B9:$AQ21,3,FALSE)</f>
        <v>Northampton</v>
      </c>
      <c r="E9" s="11">
        <f>VLOOKUP($B9,'BaseLine Data'!$B9:$AQ21,4,FALSE)</f>
        <v>2032</v>
      </c>
      <c r="F9" s="11">
        <f>VLOOKUP($B9,'BaseLine Data'!$B9:$AQ21,2,FALSE)</f>
        <v>1</v>
      </c>
      <c r="G9" s="11">
        <f>VLOOKUP($B9,'BaseLine Data'!$B9:$AQ21,6,FALSE)</f>
        <v>1</v>
      </c>
      <c r="H9" s="11">
        <f>VLOOKUP($B9,'BaseLine Data'!$B9:$AQ21,7,FALSE)</f>
        <v>1859</v>
      </c>
      <c r="I9" s="11">
        <f>VLOOKUP($B9,'BaseLine Data'!$B9:$AQ21,13,FALSE)</f>
        <v>2032</v>
      </c>
      <c r="J9" s="11">
        <f>VLOOKUP($B9,'BaseLine Data'!$B9:$AQ21,14,FALSE)</f>
        <v>2747</v>
      </c>
      <c r="K9" s="11">
        <f>VLOOKUP($B9,'BaseLine Data'!$B9:$AQ21,19,FALSE)</f>
        <v>6155</v>
      </c>
      <c r="L9" s="11">
        <f>VLOOKUP($B9,'BaseLine Data'!$B9:$AQ21,20,FALSE)</f>
        <v>473</v>
      </c>
      <c r="M9" s="47">
        <f>VLOOKUP($B9,'BaseLine Data'!$B9:$AQ21,21,FALSE)</f>
        <v>0</v>
      </c>
      <c r="N9" s="47">
        <f>VLOOKUP($B9,'BaseLine Data'!$B9:$AQ21,22,FALSE)</f>
        <v>0.81966266173752311</v>
      </c>
      <c r="O9" s="47">
        <f>VLOOKUP($B9,'BaseLine Data'!$B9:$AQ21,25,FALSE)</f>
        <v>3.0290354330708662</v>
      </c>
      <c r="P9" s="47">
        <f>VLOOKUP($B9,'BaseLine Data'!$B9:$AQ21,26,FALSE)</f>
        <v>0.17218784128139789</v>
      </c>
      <c r="Q9" s="47">
        <f>VLOOKUP($B9,'BaseLine Data'!$B9:$AQ21,35,FALSE)</f>
        <v>1.61</v>
      </c>
      <c r="R9" s="47">
        <f>VLOOKUP($B9,'BaseLine Data'!$B9:$AQ21,36,FALSE)</f>
        <v>5.37</v>
      </c>
      <c r="S9" s="40">
        <f>VLOOKUP($B9,'BaseLine Data'!$B9:$AQ21,29,FALSE)</f>
        <v>26.27</v>
      </c>
      <c r="T9" s="40">
        <f>VLOOKUP($B9,'BaseLine Data'!$B9:$AQ21,30,FALSE)</f>
        <v>87.74</v>
      </c>
      <c r="U9" s="48">
        <f t="shared" ref="U9:U21" si="0">S9 - 12*MIN(Q9,S9)</f>
        <v>6.9499999999999993</v>
      </c>
      <c r="V9" s="48">
        <f t="shared" ref="V9:V21" si="1">T9 - 12*MIN(R9,T9)</f>
        <v>23.299999999999997</v>
      </c>
      <c r="W9" s="59">
        <f t="shared" ref="W9:W21" si="2">1000*U9/J9</f>
        <v>2.530032763014197</v>
      </c>
      <c r="X9" s="59">
        <f t="shared" ref="X9:X21" si="3">1000*V9/J9</f>
        <v>8.4819803421914806</v>
      </c>
      <c r="Y9" s="40">
        <f>VLOOKUP($B9,'BaseLine Data'!$B9:$AQ21,32,FALSE)</f>
        <v>12.38</v>
      </c>
      <c r="Z9" s="48">
        <f>VLOOKUP($B9,'BaseLine Data'!$B9:$AQ21,33,FALSE)</f>
        <v>41.35</v>
      </c>
      <c r="AA9" s="59">
        <f t="shared" ref="AA9:AA21" si="4">Y9-6*Q9</f>
        <v>2.7200000000000006</v>
      </c>
      <c r="AB9" s="59">
        <f t="shared" ref="AB9:AB21" si="5">Z9-6*R9</f>
        <v>9.1300000000000026</v>
      </c>
      <c r="AC9" s="83">
        <f t="shared" ref="AC9:AC21" si="6">1000*AA9/J9</f>
        <v>0.9901710957408083</v>
      </c>
      <c r="AD9" s="83">
        <f t="shared" ref="AD9:AD21" si="7">1000*AB9/J9</f>
        <v>3.3236257735711692</v>
      </c>
      <c r="AE9" s="83">
        <f t="shared" ref="AE9:AE21" si="8">IF(X9&lt;&gt;0,X9-AD9,0)</f>
        <v>5.1583545686203109</v>
      </c>
      <c r="AF9">
        <v>1</v>
      </c>
    </row>
    <row r="10" spans="1:32">
      <c r="A10" s="10" t="s">
        <v>24</v>
      </c>
      <c r="B10" s="17" t="s">
        <v>29</v>
      </c>
      <c r="C10" s="11">
        <f>VLOOKUP($B10,'BaseLine Data'!$B9:$AQ21,2,FALSE)</f>
        <v>1</v>
      </c>
      <c r="D10" s="11" t="str">
        <f>VLOOKUP($B10,'BaseLine Data'!$B9:$AY21,3,FALSE)</f>
        <v>Quincy</v>
      </c>
      <c r="E10" s="11">
        <f>VLOOKUP($B10,'BaseLine Data'!$B9:$AY21,4,FALSE)</f>
        <v>1808</v>
      </c>
      <c r="F10" s="11">
        <f>VLOOKUP($B10,'BaseLine Data'!$B9:$AQ21,2,FALSE)</f>
        <v>1</v>
      </c>
      <c r="G10" s="11">
        <f>VLOOKUP($B10,'BaseLine Data'!$B9:$AQ21,6,FALSE)</f>
        <v>1.5</v>
      </c>
      <c r="H10" s="11">
        <f>VLOOKUP($B10,'BaseLine Data'!$B9:$AQ21,7,FALSE)</f>
        <v>1905</v>
      </c>
      <c r="I10" s="11">
        <f>VLOOKUP($B10,'BaseLine Data'!$B9:$AQ21,13,FALSE)</f>
        <v>3484</v>
      </c>
      <c r="J10" s="11">
        <f>VLOOKUP($B10,'BaseLine Data'!$B9:$AQ21,14,FALSE)</f>
        <v>4576</v>
      </c>
      <c r="K10" s="11">
        <f>VLOOKUP($B10,'BaseLine Data'!$B9:$AQ21,19,FALSE)</f>
        <v>5050</v>
      </c>
      <c r="L10" s="11">
        <f>VLOOKUP($B10,'BaseLine Data'!$B9:$AQ21,20,FALSE)</f>
        <v>762</v>
      </c>
      <c r="M10" s="47">
        <f>VLOOKUP($B10,'BaseLine Data'!$B9:$AQ21,21,FALSE)</f>
        <v>18.53</v>
      </c>
      <c r="N10" s="47">
        <f>VLOOKUP($B10,'BaseLine Data'!$B9:$AQ21,22,FALSE)</f>
        <v>1.2579100863919002</v>
      </c>
      <c r="O10" s="47">
        <f>VLOOKUP($B10,'BaseLine Data'!$B9:$AQ21,25,FALSE)</f>
        <v>1.4494833524684272</v>
      </c>
      <c r="P10" s="47">
        <f>VLOOKUP($B10,'BaseLine Data'!$B9:$AQ21,26,FALSE)</f>
        <v>0.16652097902097901</v>
      </c>
      <c r="Q10" s="47">
        <f>VLOOKUP($B10,'BaseLine Data'!$B9:$AQ21,35,FALSE)</f>
        <v>2.92</v>
      </c>
      <c r="R10" s="47">
        <f>VLOOKUP($B10,'BaseLine Data'!$B9:$AQ21,36,FALSE)</f>
        <v>8.16</v>
      </c>
      <c r="S10" s="40">
        <f>VLOOKUP($B10,'BaseLine Data'!$B9:$AQ21,29,FALSE)</f>
        <v>59.97</v>
      </c>
      <c r="T10" s="40">
        <f>VLOOKUP($B10,'BaseLine Data'!$B9:$AQ21,30,FALSE)</f>
        <v>140.22</v>
      </c>
      <c r="U10" s="48">
        <f t="shared" si="0"/>
        <v>24.93</v>
      </c>
      <c r="V10" s="48">
        <f t="shared" si="1"/>
        <v>42.3</v>
      </c>
      <c r="W10" s="59">
        <f t="shared" si="2"/>
        <v>5.4479895104895109</v>
      </c>
      <c r="X10" s="59">
        <f t="shared" si="3"/>
        <v>9.2438811188811183</v>
      </c>
      <c r="Y10" s="40">
        <f>VLOOKUP($B10,'BaseLine Data'!$B9:$AQ21,32,FALSE)</f>
        <v>29.67</v>
      </c>
      <c r="Z10" s="48">
        <f>VLOOKUP($B10,'BaseLine Data'!$B9:$AQ21,33,FALSE)</f>
        <v>69.75</v>
      </c>
      <c r="AA10" s="59">
        <f t="shared" si="4"/>
        <v>12.150000000000002</v>
      </c>
      <c r="AB10" s="59">
        <f t="shared" si="5"/>
        <v>20.79</v>
      </c>
      <c r="AC10" s="83">
        <f t="shared" si="6"/>
        <v>2.6551573426573429</v>
      </c>
      <c r="AD10" s="83">
        <f t="shared" si="7"/>
        <v>4.5432692307692308</v>
      </c>
      <c r="AE10" s="83">
        <f t="shared" si="8"/>
        <v>4.7006118881118875</v>
      </c>
      <c r="AF10">
        <v>1</v>
      </c>
    </row>
    <row r="11" spans="1:32" ht="30">
      <c r="A11" s="10" t="s">
        <v>24</v>
      </c>
      <c r="B11" s="11" t="s">
        <v>26</v>
      </c>
      <c r="C11" s="11">
        <f>VLOOKUP($B11,'BaseLine Data'!$B9:$AQ21,2,FALSE)</f>
        <v>2</v>
      </c>
      <c r="D11" s="11" t="str">
        <f>VLOOKUP($B11,'BaseLine Data'!$B9:$AQ21,3,FALSE)</f>
        <v>Belmont</v>
      </c>
      <c r="E11" s="11">
        <f>VLOOKUP($B11,'BaseLine Data'!$B9:$AQ21,4,FALSE)</f>
        <v>2728</v>
      </c>
      <c r="F11" s="11">
        <f>VLOOKUP($B11,'BaseLine Data'!$B9:$AQ21,2,FALSE)</f>
        <v>2</v>
      </c>
      <c r="G11" s="11">
        <f>VLOOKUP($B11,'BaseLine Data'!$B9:$AQ21,6,FALSE)</f>
        <v>3</v>
      </c>
      <c r="H11" s="11">
        <f>VLOOKUP($B11,'BaseLine Data'!$B9:$AQ21,7,FALSE)</f>
        <v>1925</v>
      </c>
      <c r="I11" s="11">
        <f>VLOOKUP($B11,'BaseLine Data'!$B9:$AQ21,13,FALSE)</f>
        <v>3417</v>
      </c>
      <c r="J11" s="11">
        <f>VLOOKUP($B11,'BaseLine Data'!$B9:$AQ21,14,FALSE)</f>
        <v>4768</v>
      </c>
      <c r="K11" s="11">
        <f>VLOOKUP($B11,'BaseLine Data'!$B9:$AQ21,19,FALSE)</f>
        <v>5700</v>
      </c>
      <c r="L11" s="11">
        <f>VLOOKUP($B11,'BaseLine Data'!$B9:$AQ21,20,FALSE)</f>
        <v>590</v>
      </c>
      <c r="M11" s="47">
        <f>VLOOKUP($B11,'BaseLine Data'!$B9:$AQ21,21,FALSE)</f>
        <v>9.2687950566426363</v>
      </c>
      <c r="N11" s="47">
        <f>VLOOKUP($B11,'BaseLine Data'!$B9:$AQ21,22,FALSE)</f>
        <v>0.74204502578292031</v>
      </c>
      <c r="O11" s="47">
        <f>VLOOKUP($B11,'BaseLine Data'!$B9:$AQ21,25,FALSE)</f>
        <v>1.6681299385425812</v>
      </c>
      <c r="P11" s="47">
        <f>VLOOKUP($B11,'BaseLine Data'!$B9:$AQ21,26,FALSE)</f>
        <v>0.12374161073825503</v>
      </c>
      <c r="Q11" s="47">
        <f>VLOOKUP($B11,'BaseLine Data'!$B9:$AQ21,35,FALSE)</f>
        <v>2.46</v>
      </c>
      <c r="R11" s="47">
        <f>VLOOKUP($B11,'BaseLine Data'!$B9:$AQ21,36,FALSE)</f>
        <v>8.11</v>
      </c>
      <c r="S11" s="40">
        <f>VLOOKUP($B11,'BaseLine Data'!$B9:$AQ21,29,FALSE)</f>
        <v>59.36</v>
      </c>
      <c r="T11" s="40">
        <f>VLOOKUP($B11,'BaseLine Data'!$B9:$AQ21,30,FALSE)</f>
        <v>151.47999999999999</v>
      </c>
      <c r="U11" s="48">
        <f t="shared" si="0"/>
        <v>29.84</v>
      </c>
      <c r="V11" s="48">
        <f t="shared" si="1"/>
        <v>54.16</v>
      </c>
      <c r="W11" s="59">
        <f t="shared" si="2"/>
        <v>6.2583892617449663</v>
      </c>
      <c r="X11" s="59">
        <f t="shared" si="3"/>
        <v>11.359060402684564</v>
      </c>
      <c r="Y11" s="40">
        <f>VLOOKUP($B11,'BaseLine Data'!$B9:$AQ21,32,FALSE)</f>
        <v>28.94</v>
      </c>
      <c r="Z11" s="48">
        <f>VLOOKUP($B11,'BaseLine Data'!$B9:$AQ21,33,FALSE)</f>
        <v>77.39</v>
      </c>
      <c r="AA11" s="59">
        <f t="shared" si="4"/>
        <v>14.180000000000001</v>
      </c>
      <c r="AB11" s="59">
        <f t="shared" si="5"/>
        <v>28.730000000000004</v>
      </c>
      <c r="AC11" s="83">
        <f t="shared" si="6"/>
        <v>2.9739932885906044</v>
      </c>
      <c r="AD11" s="83">
        <f t="shared" si="7"/>
        <v>6.0255872483221484</v>
      </c>
      <c r="AE11" s="83">
        <f t="shared" si="8"/>
        <v>5.3334731543624159</v>
      </c>
      <c r="AF11">
        <v>1</v>
      </c>
    </row>
    <row r="12" spans="1:32" ht="30">
      <c r="A12" s="10" t="s">
        <v>31</v>
      </c>
      <c r="B12" s="11" t="s">
        <v>38</v>
      </c>
      <c r="C12" s="11">
        <f>VLOOKUP($B12,'BaseLine Data'!$B9:$AQ21,2,FALSE)</f>
        <v>1</v>
      </c>
      <c r="D12" s="11" t="str">
        <f>VLOOKUP($B12,'BaseLine Data'!$B9:$AQ21,3,FALSE)</f>
        <v>Gloucester</v>
      </c>
      <c r="E12" s="11">
        <f>VLOOKUP($B12,'BaseLine Data'!$B9:$AQ21,4,FALSE)</f>
        <v>2171</v>
      </c>
      <c r="F12" s="11">
        <f>VLOOKUP($B12,'BaseLine Data'!$B9:$AQ21,2,FALSE)</f>
        <v>1</v>
      </c>
      <c r="G12" s="11">
        <f>VLOOKUP($B12,'BaseLine Data'!$B9:$AQ21,6,FALSE)</f>
        <v>2</v>
      </c>
      <c r="H12" s="11">
        <f>VLOOKUP($B12,'BaseLine Data'!$B9:$AQ21,7,FALSE)</f>
        <v>1920</v>
      </c>
      <c r="I12" s="11">
        <f>VLOOKUP($B12,'BaseLine Data'!$B9:$AQ21,13,FALSE)</f>
        <v>2171</v>
      </c>
      <c r="J12" s="11">
        <f>VLOOKUP($B12,'BaseLine Data'!$B9:$AQ21,14,FALSE)</f>
        <v>2424</v>
      </c>
      <c r="K12" s="11">
        <f>VLOOKUP($B12,'BaseLine Data'!$B9:$AQ21,19,FALSE)</f>
        <v>2258</v>
      </c>
      <c r="L12" s="11">
        <f>VLOOKUP($B12,'BaseLine Data'!$B9:$AQ21,20,FALSE)</f>
        <v>235</v>
      </c>
      <c r="M12" s="47" t="e">
        <f>VLOOKUP($B12,'BaseLine Data'!$B9:$AQ21,21,FALSE)</f>
        <v>#DIV/0!</v>
      </c>
      <c r="N12" s="47">
        <f>VLOOKUP($B12,'BaseLine Data'!$B9:$AQ21,22,FALSE)</f>
        <v>0.60554004724071286</v>
      </c>
      <c r="O12" s="47">
        <f>VLOOKUP($B12,'BaseLine Data'!$B9:$AQ21,25,FALSE)</f>
        <v>1.0400736987563335</v>
      </c>
      <c r="P12" s="47">
        <f>VLOOKUP($B12,'BaseLine Data'!$B9:$AQ21,26,FALSE)</f>
        <v>9.6947194719471941E-2</v>
      </c>
      <c r="Q12" s="47">
        <f>VLOOKUP($B12,'BaseLine Data'!$B9:$AQ21,35,FALSE)</f>
        <v>2.4700000000000002</v>
      </c>
      <c r="R12" s="47">
        <f>VLOOKUP($B12,'BaseLine Data'!$B9:$AQ21,36,FALSE)</f>
        <v>8.24</v>
      </c>
      <c r="S12" s="40">
        <f>VLOOKUP($B12,'BaseLine Data'!$B9:$AQ21,29,FALSE)</f>
        <v>0</v>
      </c>
      <c r="T12" s="40">
        <f>VLOOKUP($B12,'BaseLine Data'!$B9:$AQ21,30,FALSE)</f>
        <v>0</v>
      </c>
      <c r="U12" s="48">
        <f t="shared" si="0"/>
        <v>0</v>
      </c>
      <c r="V12" s="48">
        <f t="shared" si="1"/>
        <v>0</v>
      </c>
      <c r="W12" s="59">
        <f t="shared" si="2"/>
        <v>0</v>
      </c>
      <c r="X12" s="59">
        <f t="shared" si="3"/>
        <v>0</v>
      </c>
      <c r="Y12" s="40">
        <f>VLOOKUP($B12,'BaseLine Data'!$B9:$AQ21,32,FALSE)</f>
        <v>19.55</v>
      </c>
      <c r="Z12" s="48">
        <f>VLOOKUP($B12,'BaseLine Data'!$B9:$AQ21,33,FALSE)</f>
        <v>65.28</v>
      </c>
      <c r="AA12" s="59">
        <f t="shared" si="4"/>
        <v>4.7300000000000004</v>
      </c>
      <c r="AB12" s="59">
        <f t="shared" si="5"/>
        <v>15.840000000000003</v>
      </c>
      <c r="AC12" s="83">
        <f t="shared" si="6"/>
        <v>1.9513201320132014</v>
      </c>
      <c r="AD12" s="83">
        <f t="shared" si="7"/>
        <v>6.534653465346536</v>
      </c>
      <c r="AE12" s="83">
        <f t="shared" si="8"/>
        <v>0</v>
      </c>
      <c r="AF12">
        <v>1</v>
      </c>
    </row>
    <row r="13" spans="1:32">
      <c r="A13" s="10" t="s">
        <v>24</v>
      </c>
      <c r="B13" s="11" t="s">
        <v>32</v>
      </c>
      <c r="C13" s="11">
        <f>VLOOKUP($B13,'BaseLine Data'!$B9:$AQ21,2,FALSE)</f>
        <v>1</v>
      </c>
      <c r="D13" s="11" t="str">
        <f>VLOOKUP($B13,'BaseLine Data'!$B9:$AQ21,3,FALSE)</f>
        <v>Newton</v>
      </c>
      <c r="E13" s="11">
        <f>VLOOKUP($B13,'BaseLine Data'!$B9:$AQ21,4,FALSE)</f>
        <v>1724</v>
      </c>
      <c r="F13" s="11">
        <f>VLOOKUP($B13,'BaseLine Data'!$B9:$AQ21,2,FALSE)</f>
        <v>1</v>
      </c>
      <c r="G13" s="11">
        <f>VLOOKUP($B13,'BaseLine Data'!$B9:$AQ21,6,FALSE)</f>
        <v>1</v>
      </c>
      <c r="H13" s="11">
        <f>VLOOKUP($B13,'BaseLine Data'!$B9:$AQ21,7,FALSE)</f>
        <v>1930</v>
      </c>
      <c r="I13" s="11">
        <f>VLOOKUP($B13,'BaseLine Data'!$B9:$AQ21,13,FALSE)</f>
        <v>1815</v>
      </c>
      <c r="J13" s="11">
        <f>VLOOKUP($B13,'BaseLine Data'!$B9:$AQ21,14,FALSE)</f>
        <v>2199</v>
      </c>
      <c r="K13" s="11">
        <f>VLOOKUP($B13,'BaseLine Data'!$B9:$AQ21,19,FALSE)</f>
        <v>3199</v>
      </c>
      <c r="L13" s="11">
        <f>VLOOKUP($B13,'BaseLine Data'!$B9:$AQ21,20,FALSE)</f>
        <v>1299</v>
      </c>
      <c r="M13" s="47">
        <f>VLOOKUP($B13,'BaseLine Data'!$B9:$AQ21,21,FALSE)</f>
        <v>10.192767245499441</v>
      </c>
      <c r="N13" s="47">
        <f>VLOOKUP($B13,'BaseLine Data'!$B9:$AQ21,22,FALSE)</f>
        <v>3.558254200146092</v>
      </c>
      <c r="O13" s="47">
        <f>VLOOKUP($B13,'BaseLine Data'!$B9:$AQ21,25,FALSE)</f>
        <v>1.7625344352617081</v>
      </c>
      <c r="P13" s="47">
        <f>VLOOKUP($B13,'BaseLine Data'!$B9:$AQ21,26,FALSE)</f>
        <v>0.59072305593451568</v>
      </c>
      <c r="Q13" s="47">
        <f>VLOOKUP($B13,'BaseLine Data'!$B9:$AQ21,35,FALSE)</f>
        <v>2.59</v>
      </c>
      <c r="R13" s="47">
        <f>VLOOKUP($B13,'BaseLine Data'!$B9:$AQ21,36,FALSE)</f>
        <v>6.25</v>
      </c>
      <c r="S13" s="40">
        <f>VLOOKUP($B13,'BaseLine Data'!$B9:$AQ21,29,FALSE)</f>
        <v>66.16</v>
      </c>
      <c r="T13" s="40">
        <f>VLOOKUP($B13,'BaseLine Data'!$B9:$AQ21,30,FALSE)</f>
        <v>125.36</v>
      </c>
      <c r="U13" s="48">
        <f t="shared" si="0"/>
        <v>35.08</v>
      </c>
      <c r="V13" s="48">
        <f t="shared" si="1"/>
        <v>50.36</v>
      </c>
      <c r="W13" s="59">
        <f t="shared" si="2"/>
        <v>15.952705775352433</v>
      </c>
      <c r="X13" s="59">
        <f t="shared" si="3"/>
        <v>22.901318781264212</v>
      </c>
      <c r="Y13" s="40">
        <f>VLOOKUP($B13,'BaseLine Data'!$B9:$AQ21,32,FALSE)</f>
        <v>28.33</v>
      </c>
      <c r="Z13" s="48">
        <f>VLOOKUP($B13,'BaseLine Data'!$B9:$AQ21,33,FALSE)</f>
        <v>55.42</v>
      </c>
      <c r="AA13" s="59">
        <f t="shared" si="4"/>
        <v>12.79</v>
      </c>
      <c r="AB13" s="59">
        <f t="shared" si="5"/>
        <v>17.920000000000002</v>
      </c>
      <c r="AC13" s="83">
        <f t="shared" si="6"/>
        <v>5.8162801273306046</v>
      </c>
      <c r="AD13" s="83">
        <f t="shared" si="7"/>
        <v>8.1491587085038653</v>
      </c>
      <c r="AE13" s="83">
        <f t="shared" si="8"/>
        <v>14.752160072760347</v>
      </c>
      <c r="AF13">
        <v>1</v>
      </c>
    </row>
    <row r="14" spans="1:32">
      <c r="A14" s="10" t="s">
        <v>24</v>
      </c>
      <c r="B14" s="11" t="s">
        <v>27</v>
      </c>
      <c r="C14" s="11">
        <f>VLOOKUP($B14,'BaseLine Data'!$B9:$AQ21,2,FALSE)</f>
        <v>1</v>
      </c>
      <c r="D14" s="11" t="str">
        <f>VLOOKUP($B14,'BaseLine Data'!$B9:$AQ21,3,FALSE)</f>
        <v>Millbury</v>
      </c>
      <c r="E14" s="11">
        <f>VLOOKUP($B14,'BaseLine Data'!$B9:$AQ21,4,FALSE)</f>
        <v>1100</v>
      </c>
      <c r="F14" s="11">
        <f>VLOOKUP($B14,'BaseLine Data'!$B9:$AQ21,2,FALSE)</f>
        <v>1</v>
      </c>
      <c r="G14" s="11">
        <f>VLOOKUP($B14,'BaseLine Data'!$B9:$AQ21,6,FALSE)</f>
        <v>1.5</v>
      </c>
      <c r="H14" s="11">
        <f>VLOOKUP($B14,'BaseLine Data'!$B9:$AQ21,7,FALSE)</f>
        <v>1953</v>
      </c>
      <c r="I14" s="11">
        <f>VLOOKUP($B14,'BaseLine Data'!$B9:$AQ21,13,FALSE)</f>
        <v>1868</v>
      </c>
      <c r="J14" s="11">
        <f>VLOOKUP($B14,'BaseLine Data'!$B9:$AQ21,14,FALSE)</f>
        <v>1868</v>
      </c>
      <c r="K14" s="11">
        <f>VLOOKUP($B14,'BaseLine Data'!$B9:$AQ21,19,FALSE)</f>
        <v>2860</v>
      </c>
      <c r="L14" s="11">
        <f>VLOOKUP($B14,'BaseLine Data'!$B9:$AQ21,20,FALSE)</f>
        <v>402</v>
      </c>
      <c r="M14" s="47">
        <f>VLOOKUP($B14,'BaseLine Data'!$B9:$AQ21,21,FALSE)</f>
        <v>10.4</v>
      </c>
      <c r="N14" s="47">
        <f>VLOOKUP($B14,'BaseLine Data'!$B9:$AQ21,22,FALSE)</f>
        <v>1.4188235294117648</v>
      </c>
      <c r="O14" s="47">
        <f>VLOOKUP($B14,'BaseLine Data'!$B9:$AQ21,25,FALSE)</f>
        <v>1.5310492505353319</v>
      </c>
      <c r="P14" s="47">
        <f>VLOOKUP($B14,'BaseLine Data'!$B9:$AQ21,26,FALSE)</f>
        <v>0.21520342612419699</v>
      </c>
      <c r="Q14" s="47">
        <f>VLOOKUP($B14,'BaseLine Data'!$B9:$AQ21,35,FALSE)</f>
        <v>2.34</v>
      </c>
      <c r="R14" s="47">
        <f>VLOOKUP($B14,'BaseLine Data'!$B9:$AQ21,36,FALSE)</f>
        <v>6.58</v>
      </c>
      <c r="S14" s="40">
        <f>VLOOKUP($B14,'BaseLine Data'!$B9:$AQ21,29,FALSE)</f>
        <v>45.04</v>
      </c>
      <c r="T14" s="40">
        <f>VLOOKUP($B14,'BaseLine Data'!$B9:$AQ21,30,FALSE)</f>
        <v>129.72999999999999</v>
      </c>
      <c r="U14" s="48">
        <f t="shared" si="0"/>
        <v>16.96</v>
      </c>
      <c r="V14" s="48">
        <f t="shared" si="1"/>
        <v>50.769999999999982</v>
      </c>
      <c r="W14" s="59">
        <f t="shared" si="2"/>
        <v>9.0792291220556738</v>
      </c>
      <c r="X14" s="59">
        <f t="shared" si="3"/>
        <v>27.178800856531041</v>
      </c>
      <c r="Y14" s="40">
        <f>VLOOKUP($B14,'BaseLine Data'!$B9:$AQ21,32,FALSE)</f>
        <v>21.26</v>
      </c>
      <c r="Z14" s="48">
        <f>VLOOKUP($B14,'BaseLine Data'!$B9:$AQ21,33,FALSE)</f>
        <v>62.9</v>
      </c>
      <c r="AA14" s="59">
        <f t="shared" si="4"/>
        <v>7.2200000000000024</v>
      </c>
      <c r="AB14" s="59">
        <f t="shared" si="5"/>
        <v>23.419999999999995</v>
      </c>
      <c r="AC14" s="83">
        <f t="shared" si="6"/>
        <v>3.8650963597430423</v>
      </c>
      <c r="AD14" s="83">
        <f t="shared" si="7"/>
        <v>12.537473233404709</v>
      </c>
      <c r="AE14" s="83">
        <f t="shared" si="8"/>
        <v>14.641327623126331</v>
      </c>
      <c r="AF14">
        <v>1</v>
      </c>
    </row>
    <row r="15" spans="1:32">
      <c r="A15" s="10" t="s">
        <v>24</v>
      </c>
      <c r="B15" s="11" t="s">
        <v>25</v>
      </c>
      <c r="C15" s="11">
        <f>VLOOKUP($B15,'BaseLine Data'!$B9:$AQ21,2,FALSE)</f>
        <v>1</v>
      </c>
      <c r="D15" s="11" t="str">
        <f>VLOOKUP($B15,'BaseLine Data'!$B9:$AQ21,3,FALSE)</f>
        <v>Belchertown</v>
      </c>
      <c r="E15" s="11">
        <f>VLOOKUP($B15,'BaseLine Data'!$B9:$AQ21,4,FALSE)</f>
        <v>1352</v>
      </c>
      <c r="F15" s="11">
        <f>VLOOKUP($B15,'BaseLine Data'!$B9:$AQ21,2,FALSE)</f>
        <v>1</v>
      </c>
      <c r="G15" s="11">
        <f>VLOOKUP($B15,'BaseLine Data'!$B9:$AQ21,6,FALSE)</f>
        <v>1.5</v>
      </c>
      <c r="H15" s="11">
        <f>VLOOKUP($B15,'BaseLine Data'!$B9:$AQ21,7,FALSE)</f>
        <v>1760</v>
      </c>
      <c r="I15" s="11">
        <f>VLOOKUP($B15,'BaseLine Data'!$B9:$AQ21,13,FALSE)</f>
        <v>1435</v>
      </c>
      <c r="J15" s="11">
        <f>VLOOKUP($B15,'BaseLine Data'!$B9:$AQ21,14,FALSE)</f>
        <v>1907</v>
      </c>
      <c r="K15" s="11">
        <f>VLOOKUP($B15,'BaseLine Data'!$B9:$AQ21,19,FALSE)</f>
        <v>9079</v>
      </c>
      <c r="L15" s="11">
        <f>VLOOKUP($B15,'BaseLine Data'!$B9:$AQ21,20,FALSE)</f>
        <v>468</v>
      </c>
      <c r="M15" s="47">
        <f>VLOOKUP($B15,'BaseLine Data'!$B9:$AQ21,21,FALSE)</f>
        <v>57.656646909398809</v>
      </c>
      <c r="N15" s="47">
        <f>VLOOKUP($B15,'BaseLine Data'!$B9:$AQ21,22,FALSE)</f>
        <v>1.8755009350788139</v>
      </c>
      <c r="O15" s="47">
        <f>VLOOKUP($B15,'BaseLine Data'!$B9:$AQ21,25,FALSE)</f>
        <v>6.3268292682926832</v>
      </c>
      <c r="P15" s="47">
        <f>VLOOKUP($B15,'BaseLine Data'!$B9:$AQ21,26,FALSE)</f>
        <v>0.2454116413214473</v>
      </c>
      <c r="Q15" s="47">
        <f>VLOOKUP($B15,'BaseLine Data'!$B9:$AQ21,35,FALSE)</f>
        <v>1.04</v>
      </c>
      <c r="R15" s="47">
        <f>VLOOKUP($B15,'BaseLine Data'!$B9:$AQ21,36,FALSE)</f>
        <v>2</v>
      </c>
      <c r="S15" s="40">
        <f>VLOOKUP($B15,'BaseLine Data'!$B9:$AQ21,29,FALSE)</f>
        <v>37.130000000000003</v>
      </c>
      <c r="T15" s="40">
        <f>VLOOKUP($B15,'BaseLine Data'!$B9:$AQ21,30,FALSE)</f>
        <v>52.4</v>
      </c>
      <c r="U15" s="48">
        <f t="shared" si="0"/>
        <v>24.650000000000002</v>
      </c>
      <c r="V15" s="48">
        <f t="shared" si="1"/>
        <v>28.4</v>
      </c>
      <c r="W15" s="59">
        <f t="shared" si="2"/>
        <v>12.926061877294181</v>
      </c>
      <c r="X15" s="59">
        <f t="shared" si="3"/>
        <v>14.892501310959622</v>
      </c>
      <c r="Y15" s="40">
        <f>VLOOKUP($B15,'BaseLine Data'!$B9:$AQ21,32,FALSE)</f>
        <v>15.1</v>
      </c>
      <c r="Z15" s="48">
        <f>VLOOKUP($B15,'BaseLine Data'!$B9:$AQ21,33,FALSE)</f>
        <v>22.29</v>
      </c>
      <c r="AA15" s="59">
        <f t="shared" si="4"/>
        <v>8.86</v>
      </c>
      <c r="AB15" s="59">
        <f t="shared" si="5"/>
        <v>10.29</v>
      </c>
      <c r="AC15" s="83">
        <f t="shared" si="6"/>
        <v>4.6460409019402205</v>
      </c>
      <c r="AD15" s="83">
        <f t="shared" si="7"/>
        <v>5.3959098059779755</v>
      </c>
      <c r="AE15" s="83">
        <f t="shared" si="8"/>
        <v>9.4965915049816463</v>
      </c>
      <c r="AF15">
        <v>2</v>
      </c>
    </row>
    <row r="16" spans="1:32">
      <c r="A16" s="10" t="s">
        <v>24</v>
      </c>
      <c r="B16" s="11" t="s">
        <v>36</v>
      </c>
      <c r="C16" s="11">
        <f>VLOOKUP($B16,'BaseLine Data'!$B9:$AQ21,2,FALSE)</f>
        <v>1</v>
      </c>
      <c r="D16" s="11" t="str">
        <f>VLOOKUP($B16,'BaseLine Data'!$B9:$AQ21,3,FALSE)</f>
        <v>Brookline</v>
      </c>
      <c r="E16" s="11">
        <f>VLOOKUP($B16,'BaseLine Data'!$B9:$AQ21,4,FALSE)</f>
        <v>2284</v>
      </c>
      <c r="F16" s="11">
        <f>VLOOKUP($B16,'BaseLine Data'!$B9:$AQ21,2,FALSE)</f>
        <v>1</v>
      </c>
      <c r="G16" s="11">
        <f>VLOOKUP($B16,'BaseLine Data'!$B9:$AQ21,6,FALSE)</f>
        <v>3</v>
      </c>
      <c r="H16" s="11">
        <f>VLOOKUP($B16,'BaseLine Data'!$B9:$AQ21,7,FALSE)</f>
        <v>1899</v>
      </c>
      <c r="I16" s="11">
        <f>VLOOKUP($B16,'BaseLine Data'!$B9:$AQ21,13,FALSE)</f>
        <v>3078</v>
      </c>
      <c r="J16" s="11">
        <f>VLOOKUP($B16,'BaseLine Data'!$B9:$AQ21,14,FALSE)</f>
        <v>3174</v>
      </c>
      <c r="K16" s="11">
        <f>VLOOKUP($B16,'BaseLine Data'!$B9:$AQ21,19,FALSE)</f>
        <v>1640</v>
      </c>
      <c r="L16" s="11">
        <f>VLOOKUP($B16,'BaseLine Data'!$B9:$AQ21,20,FALSE)</f>
        <v>655</v>
      </c>
      <c r="M16" s="47">
        <f>VLOOKUP($B16,'BaseLine Data'!$B9:$AQ21,21,FALSE)</f>
        <v>3.7575896437163481</v>
      </c>
      <c r="N16" s="47">
        <f>VLOOKUP($B16,'BaseLine Data'!$B9:$AQ21,22,FALSE)</f>
        <v>1.5007446442891512</v>
      </c>
      <c r="O16" s="47">
        <f>VLOOKUP($B16,'BaseLine Data'!$B9:$AQ21,25,FALSE)</f>
        <v>0.53281351526965559</v>
      </c>
      <c r="P16" s="47">
        <f>VLOOKUP($B16,'BaseLine Data'!$B9:$AQ21,26,FALSE)</f>
        <v>0.20636420919974796</v>
      </c>
      <c r="Q16" s="47">
        <f>VLOOKUP($B16,'BaseLine Data'!$B9:$AQ21,35,FALSE)</f>
        <v>2.27</v>
      </c>
      <c r="R16" s="47">
        <f>VLOOKUP($B16,'BaseLine Data'!$B9:$AQ21,36,FALSE)</f>
        <v>4.37</v>
      </c>
      <c r="S16" s="40">
        <f>VLOOKUP($B16,'BaseLine Data'!$B9:$AQ21,29,FALSE)</f>
        <v>0</v>
      </c>
      <c r="T16" s="40">
        <f>VLOOKUP($B16,'BaseLine Data'!$B9:$AQ21,30,FALSE)</f>
        <v>0</v>
      </c>
      <c r="U16" s="48">
        <f t="shared" si="0"/>
        <v>0</v>
      </c>
      <c r="V16" s="48">
        <f t="shared" si="1"/>
        <v>0</v>
      </c>
      <c r="W16" s="59">
        <f t="shared" si="2"/>
        <v>0</v>
      </c>
      <c r="X16" s="59">
        <f t="shared" si="3"/>
        <v>0</v>
      </c>
      <c r="Y16" s="40">
        <f>VLOOKUP($B16,'BaseLine Data'!$B9:$AQ21,32,FALSE)</f>
        <v>28.04</v>
      </c>
      <c r="Z16" s="48">
        <f>VLOOKUP($B16,'BaseLine Data'!$B9:$AQ21,33,FALSE)</f>
        <v>43.43</v>
      </c>
      <c r="AA16" s="59">
        <f t="shared" si="4"/>
        <v>14.419999999999998</v>
      </c>
      <c r="AB16" s="59">
        <f t="shared" si="5"/>
        <v>17.21</v>
      </c>
      <c r="AC16" s="83">
        <f t="shared" si="6"/>
        <v>4.5431632010081913</v>
      </c>
      <c r="AD16" s="83">
        <f t="shared" si="7"/>
        <v>5.4221802142407061</v>
      </c>
      <c r="AE16" s="83">
        <f t="shared" si="8"/>
        <v>0</v>
      </c>
      <c r="AF16">
        <v>2</v>
      </c>
    </row>
    <row r="17" spans="1:32">
      <c r="A17" s="10" t="s">
        <v>24</v>
      </c>
      <c r="B17" s="11" t="s">
        <v>28</v>
      </c>
      <c r="C17" s="11">
        <f>VLOOKUP($B17,'BaseLine Data'!$B9:$AQ21,2,FALSE)</f>
        <v>1</v>
      </c>
      <c r="D17" s="11" t="str">
        <f>VLOOKUP($B17,'BaseLine Data'!$B9:$AQ21,3,FALSE)</f>
        <v>Milton</v>
      </c>
      <c r="E17" s="11">
        <f>VLOOKUP($B17,'BaseLine Data'!$B9:$AQ21,4,FALSE)</f>
        <v>1600</v>
      </c>
      <c r="F17" s="11">
        <f>VLOOKUP($B17,'BaseLine Data'!$B9:$AQ21,2,FALSE)</f>
        <v>1</v>
      </c>
      <c r="G17" s="11">
        <f>VLOOKUP($B17,'BaseLine Data'!$B9:$AQ21,6,FALSE)</f>
        <v>2</v>
      </c>
      <c r="H17" s="11">
        <f>VLOOKUP($B17,'BaseLine Data'!$B9:$AQ21,7,FALSE)</f>
        <v>1960</v>
      </c>
      <c r="I17" s="11">
        <f>VLOOKUP($B17,'BaseLine Data'!$B9:$AQ21,13,FALSE)</f>
        <v>2368</v>
      </c>
      <c r="J17" s="11">
        <f>VLOOKUP($B17,'BaseLine Data'!$B9:$AQ21,14,FALSE)</f>
        <v>2368</v>
      </c>
      <c r="K17" s="11">
        <f>VLOOKUP($B17,'BaseLine Data'!$B9:$AQ21,19,FALSE)</f>
        <v>1695</v>
      </c>
      <c r="L17" s="11">
        <f>VLOOKUP($B17,'BaseLine Data'!$B9:$AQ21,20,FALSE)</f>
        <v>584</v>
      </c>
      <c r="M17" s="47">
        <f>VLOOKUP($B17,'BaseLine Data'!$B9:$AQ21,21,FALSE)</f>
        <v>4.5285337703049304</v>
      </c>
      <c r="N17" s="47">
        <f>VLOOKUP($B17,'BaseLine Data'!$B9:$AQ21,22,FALSE)</f>
        <v>1.4326835012429675</v>
      </c>
      <c r="O17" s="47">
        <f>VLOOKUP($B17,'BaseLine Data'!$B9:$AQ21,25,FALSE)</f>
        <v>0.71579391891891897</v>
      </c>
      <c r="P17" s="47">
        <f>VLOOKUP($B17,'BaseLine Data'!$B9:$AQ21,26,FALSE)</f>
        <v>0.24662162162162163</v>
      </c>
      <c r="Q17" s="47">
        <f>VLOOKUP($B17,'BaseLine Data'!$B9:$AQ21,35,FALSE)</f>
        <v>2.4700000000000002</v>
      </c>
      <c r="R17" s="47">
        <f>VLOOKUP($B17,'BaseLine Data'!$B9:$AQ21,36,FALSE)</f>
        <v>5.74</v>
      </c>
      <c r="S17" s="40">
        <f>VLOOKUP($B17,'BaseLine Data'!$B9:$AQ21,29,FALSE)</f>
        <v>53.59</v>
      </c>
      <c r="T17" s="40">
        <f>VLOOKUP($B17,'BaseLine Data'!$B9:$AQ21,30,FALSE)</f>
        <v>108.13</v>
      </c>
      <c r="U17" s="48">
        <f t="shared" si="0"/>
        <v>23.950000000000003</v>
      </c>
      <c r="V17" s="48">
        <f t="shared" si="1"/>
        <v>39.25</v>
      </c>
      <c r="W17" s="59">
        <f t="shared" si="2"/>
        <v>10.114020270270272</v>
      </c>
      <c r="X17" s="59">
        <f t="shared" si="3"/>
        <v>16.575168918918919</v>
      </c>
      <c r="Y17" s="40">
        <f>VLOOKUP($B17,'BaseLine Data'!$B9:$AQ21,32,FALSE)</f>
        <v>26.05</v>
      </c>
      <c r="Z17" s="48">
        <f>VLOOKUP($B17,'BaseLine Data'!$B9:$AQ21,33,FALSE)</f>
        <v>50.54</v>
      </c>
      <c r="AA17" s="59">
        <f t="shared" si="4"/>
        <v>11.23</v>
      </c>
      <c r="AB17" s="59">
        <f t="shared" si="5"/>
        <v>16.100000000000001</v>
      </c>
      <c r="AC17" s="83">
        <f t="shared" si="6"/>
        <v>4.7423986486486482</v>
      </c>
      <c r="AD17" s="83">
        <f t="shared" si="7"/>
        <v>6.7989864864864868</v>
      </c>
      <c r="AE17" s="83">
        <f t="shared" si="8"/>
        <v>9.7761824324324316</v>
      </c>
      <c r="AF17">
        <v>2</v>
      </c>
    </row>
    <row r="18" spans="1:32" ht="30">
      <c r="A18" s="10" t="s">
        <v>24</v>
      </c>
      <c r="B18" s="11" t="s">
        <v>30</v>
      </c>
      <c r="C18" s="11">
        <f>VLOOKUP($B18,'BaseLine Data'!$B9:$AQ21,2,FALSE)</f>
        <v>2</v>
      </c>
      <c r="D18" s="11" t="str">
        <f>VLOOKUP($B18,'BaseLine Data'!$B9:$AQ21,3,FALSE)</f>
        <v>Arlington</v>
      </c>
      <c r="E18" s="11">
        <f>VLOOKUP($B18,'BaseLine Data'!$B9:$AQ21,4,FALSE)</f>
        <v>2112</v>
      </c>
      <c r="F18" s="11">
        <f>VLOOKUP($B18,'BaseLine Data'!$B9:$AQ21,2,FALSE)</f>
        <v>2</v>
      </c>
      <c r="G18" s="11">
        <f>VLOOKUP($B18,'BaseLine Data'!$B9:$AQ21,6,FALSE)</f>
        <v>2</v>
      </c>
      <c r="H18" s="11">
        <f>VLOOKUP($B18,'BaseLine Data'!$B9:$AQ21,7,FALSE)</f>
        <v>1910</v>
      </c>
      <c r="I18" s="11">
        <f>VLOOKUP($B18,'BaseLine Data'!$B9:$AQ21,13,FALSE)</f>
        <v>2502</v>
      </c>
      <c r="J18" s="11">
        <f>VLOOKUP($B18,'BaseLine Data'!$B9:$AQ21,14,FALSE)</f>
        <v>3627</v>
      </c>
      <c r="K18" s="11">
        <f>VLOOKUP($B18,'BaseLine Data'!$B9:$AQ21,19,FALSE)</f>
        <v>8730</v>
      </c>
      <c r="L18" s="11">
        <f>VLOOKUP($B18,'BaseLine Data'!$B9:$AQ21,20,FALSE)</f>
        <v>3586</v>
      </c>
      <c r="M18" s="47">
        <f>VLOOKUP($B18,'BaseLine Data'!$B9:$AQ21,21,FALSE)</f>
        <v>25.986009822890313</v>
      </c>
      <c r="N18" s="47">
        <f>VLOOKUP($B18,'BaseLine Data'!$B9:$AQ21,22,FALSE)</f>
        <v>7.2571505666486775</v>
      </c>
      <c r="O18" s="47">
        <f>VLOOKUP($B18,'BaseLine Data'!$B9:$AQ21,25,FALSE)</f>
        <v>3.4892086330935252</v>
      </c>
      <c r="P18" s="47">
        <f>VLOOKUP($B18,'BaseLine Data'!$B9:$AQ21,26,FALSE)</f>
        <v>0.98869589192169838</v>
      </c>
      <c r="Q18" s="47">
        <f>VLOOKUP($B18,'BaseLine Data'!$B9:$AQ21,35,FALSE)</f>
        <v>4.1500000000000004</v>
      </c>
      <c r="R18" s="47">
        <f>VLOOKUP($B18,'BaseLine Data'!$B9:$AQ21,36,FALSE)</f>
        <v>10.76</v>
      </c>
      <c r="S18" s="40">
        <f>VLOOKUP($B18,'BaseLine Data'!$B9:$AQ21,29,FALSE)</f>
        <v>100.75</v>
      </c>
      <c r="T18" s="40">
        <f>VLOOKUP($B18,'BaseLine Data'!$B9:$AQ21,30,FALSE)</f>
        <v>216.58</v>
      </c>
      <c r="U18" s="48">
        <f t="shared" si="0"/>
        <v>50.949999999999996</v>
      </c>
      <c r="V18" s="48">
        <f t="shared" si="1"/>
        <v>87.460000000000008</v>
      </c>
      <c r="W18" s="59">
        <f t="shared" si="2"/>
        <v>14.047422111938239</v>
      </c>
      <c r="X18" s="59">
        <f t="shared" si="3"/>
        <v>24.113592500689279</v>
      </c>
      <c r="Y18" s="40">
        <f>VLOOKUP($B18,'BaseLine Data'!$B9:$AQ21,32,FALSE)</f>
        <v>44.42</v>
      </c>
      <c r="Z18" s="48">
        <f>VLOOKUP($B18,'BaseLine Data'!$B9:$AQ21,33,FALSE)</f>
        <v>91.72</v>
      </c>
      <c r="AA18" s="59">
        <f t="shared" si="4"/>
        <v>19.52</v>
      </c>
      <c r="AB18" s="59">
        <f t="shared" si="5"/>
        <v>27.159999999999997</v>
      </c>
      <c r="AC18" s="83">
        <f t="shared" si="6"/>
        <v>5.3818582850840917</v>
      </c>
      <c r="AD18" s="83">
        <f t="shared" si="7"/>
        <v>7.4882823269920031</v>
      </c>
      <c r="AE18" s="83">
        <f t="shared" si="8"/>
        <v>16.625310173697276</v>
      </c>
      <c r="AF18">
        <v>2</v>
      </c>
    </row>
    <row r="19" spans="1:32">
      <c r="A19" s="10" t="s">
        <v>24</v>
      </c>
      <c r="B19" s="11" t="s">
        <v>37</v>
      </c>
      <c r="C19" s="11">
        <f>VLOOKUP($B19,'BaseLine Data'!$B9:$AQ21,2,FALSE)</f>
        <v>1</v>
      </c>
      <c r="D19" s="11" t="str">
        <f>VLOOKUP($B19,'BaseLine Data'!$B9:$AQ21,3,FALSE)</f>
        <v>Westford</v>
      </c>
      <c r="E19" s="11">
        <f>VLOOKUP($B19,'BaseLine Data'!$B9:$AQ21,4,FALSE)</f>
        <v>2906</v>
      </c>
      <c r="F19" s="11">
        <f>VLOOKUP($B19,'BaseLine Data'!$B9:$AQ21,2,FALSE)</f>
        <v>1</v>
      </c>
      <c r="G19" s="11">
        <f>VLOOKUP($B19,'BaseLine Data'!$B9:$AQ21,6,FALSE)</f>
        <v>2</v>
      </c>
      <c r="H19" s="11">
        <f>VLOOKUP($B19,'BaseLine Data'!$B9:$AQ21,7,FALSE)</f>
        <v>1993</v>
      </c>
      <c r="I19" s="11">
        <f>VLOOKUP($B19,'BaseLine Data'!$B9:$AQ21,13,FALSE)</f>
        <v>2906</v>
      </c>
      <c r="J19" s="11">
        <f>VLOOKUP($B19,'BaseLine Data'!$B9:$AQ21,14,FALSE)</f>
        <v>3955</v>
      </c>
      <c r="K19" s="11">
        <f>VLOOKUP($B19,'BaseLine Data'!$B9:$AQ21,19,FALSE)</f>
        <v>2592</v>
      </c>
      <c r="L19" s="11">
        <f>VLOOKUP($B19,'BaseLine Data'!$B9:$AQ21,20,FALSE)</f>
        <v>930</v>
      </c>
      <c r="M19" s="47">
        <f>VLOOKUP($B19,'BaseLine Data'!$B9:$AQ21,21,FALSE)</f>
        <v>4.8259169614596908</v>
      </c>
      <c r="N19" s="47">
        <f>VLOOKUP($B19,'BaseLine Data'!$B9:$AQ21,22,FALSE)</f>
        <v>1.2546374367622262</v>
      </c>
      <c r="O19" s="47">
        <f>VLOOKUP($B19,'BaseLine Data'!$B9:$AQ21,25,FALSE)</f>
        <v>0.89194769442532695</v>
      </c>
      <c r="P19" s="47">
        <f>VLOOKUP($B19,'BaseLine Data'!$B9:$AQ21,26,FALSE)</f>
        <v>0.23514538558786346</v>
      </c>
      <c r="Q19" s="47">
        <f>VLOOKUP($B19,'BaseLine Data'!$B9:$AQ21,35,FALSE)</f>
        <v>4.2300000000000004</v>
      </c>
      <c r="R19" s="47">
        <f>VLOOKUP($B19,'BaseLine Data'!$B9:$AQ21,36,FALSE)</f>
        <v>9.76</v>
      </c>
      <c r="S19" s="40">
        <f>VLOOKUP($B19,'BaseLine Data'!$B9:$AQ21,29,FALSE)</f>
        <v>0</v>
      </c>
      <c r="T19" s="40">
        <f>VLOOKUP($B19,'BaseLine Data'!$B9:$AQ21,30,FALSE)</f>
        <v>0</v>
      </c>
      <c r="U19" s="48">
        <f t="shared" si="0"/>
        <v>0</v>
      </c>
      <c r="V19" s="48">
        <f t="shared" si="1"/>
        <v>0</v>
      </c>
      <c r="W19" s="59">
        <f t="shared" si="2"/>
        <v>0</v>
      </c>
      <c r="X19" s="59">
        <f t="shared" si="3"/>
        <v>0</v>
      </c>
      <c r="Y19" s="40">
        <f>VLOOKUP($B19,'BaseLine Data'!$B9:$AQ21,32,FALSE)</f>
        <v>56.66</v>
      </c>
      <c r="Z19" s="48">
        <f>VLOOKUP($B19,'BaseLine Data'!$B9:$AQ21,33,FALSE)</f>
        <v>103.25</v>
      </c>
      <c r="AA19" s="59">
        <f t="shared" si="4"/>
        <v>31.279999999999994</v>
      </c>
      <c r="AB19" s="59">
        <f t="shared" si="5"/>
        <v>44.69</v>
      </c>
      <c r="AC19" s="83">
        <f t="shared" si="6"/>
        <v>7.9089759797724382</v>
      </c>
      <c r="AD19" s="83">
        <f t="shared" si="7"/>
        <v>11.299620733249052</v>
      </c>
      <c r="AE19" s="83">
        <f t="shared" si="8"/>
        <v>0</v>
      </c>
      <c r="AF19">
        <v>2</v>
      </c>
    </row>
    <row r="20" spans="1:32" ht="90">
      <c r="A20" s="10" t="s">
        <v>24</v>
      </c>
      <c r="B20" s="11" t="s">
        <v>35</v>
      </c>
      <c r="C20" s="11">
        <f>VLOOKUP($B20,'BaseLine Data'!$B9:$AQ21,2,FALSE)</f>
        <v>1</v>
      </c>
      <c r="D20" s="11" t="str">
        <f>VLOOKUP($B20,'BaseLine Data'!$B9:$AQ21,3,FALSE)</f>
        <v>Lancaster</v>
      </c>
      <c r="E20" s="11">
        <f>VLOOKUP($B20,'BaseLine Data'!$B9:$AQ21,4,FALSE)</f>
        <v>908</v>
      </c>
      <c r="F20" s="11">
        <f>VLOOKUP($B20,'BaseLine Data'!$B9:$AQ21,2,FALSE)</f>
        <v>1</v>
      </c>
      <c r="G20" s="11">
        <f>VLOOKUP($B20,'BaseLine Data'!$B9:$AQ21,6,FALSE)</f>
        <v>2</v>
      </c>
      <c r="H20" s="11">
        <f>VLOOKUP($B20,'BaseLine Data'!$B9:$AQ21,7,FALSE)</f>
        <v>1900</v>
      </c>
      <c r="I20" s="11">
        <f>VLOOKUP($B20,'BaseLine Data'!$B9:$AQ21,13,FALSE)</f>
        <v>980</v>
      </c>
      <c r="J20" s="11">
        <f>VLOOKUP($B20,'BaseLine Data'!$B9:$AQ21,14,FALSE)</f>
        <v>1440</v>
      </c>
      <c r="K20" s="11">
        <f>VLOOKUP($B20,'BaseLine Data'!$B9:$AQ21,19,FALSE)</f>
        <v>4254</v>
      </c>
      <c r="L20" s="11">
        <f>VLOOKUP($B20,'BaseLine Data'!$B9:$AQ21,20,FALSE)</f>
        <v>293</v>
      </c>
      <c r="M20" s="47">
        <f>VLOOKUP($B20,'BaseLine Data'!$B9:$AQ21,21,FALSE)</f>
        <v>36.050847457627121</v>
      </c>
      <c r="N20" s="47">
        <f>VLOOKUP($B20,'BaseLine Data'!$B9:$AQ21,22,FALSE)</f>
        <v>1.4250972762645915</v>
      </c>
      <c r="O20" s="47">
        <f>VLOOKUP($B20,'BaseLine Data'!$B9:$AQ21,25,FALSE)</f>
        <v>4.3408163265306126</v>
      </c>
      <c r="P20" s="47">
        <f>VLOOKUP($B20,'BaseLine Data'!$B9:$AQ21,26,FALSE)</f>
        <v>0.20347222222222222</v>
      </c>
      <c r="Q20" s="47">
        <f>VLOOKUP($B20,'BaseLine Data'!$B9:$AQ21,35,FALSE)</f>
        <v>3.3</v>
      </c>
      <c r="R20" s="47">
        <f>VLOOKUP($B20,'BaseLine Data'!$B9:$AQ21,36,FALSE)</f>
        <v>6.98</v>
      </c>
      <c r="S20" s="40">
        <f>VLOOKUP($B20,'BaseLine Data'!$B9:$AQ21,29,FALSE)</f>
        <v>0</v>
      </c>
      <c r="T20" s="40">
        <f>VLOOKUP($B20,'BaseLine Data'!$B9:$AQ21,30,FALSE)</f>
        <v>0</v>
      </c>
      <c r="U20" s="48">
        <f t="shared" si="0"/>
        <v>0</v>
      </c>
      <c r="V20" s="48">
        <f t="shared" si="1"/>
        <v>0</v>
      </c>
      <c r="W20" s="59">
        <f t="shared" si="2"/>
        <v>0</v>
      </c>
      <c r="X20" s="59">
        <f t="shared" si="3"/>
        <v>0</v>
      </c>
      <c r="Y20" s="40">
        <f>VLOOKUP($B20,'BaseLine Data'!$B9:$AQ21,32,FALSE)</f>
        <v>22.26</v>
      </c>
      <c r="Z20" s="48">
        <f>VLOOKUP($B20,'BaseLine Data'!$B9:$AQ21,33,FALSE)</f>
        <v>50.03</v>
      </c>
      <c r="AA20" s="59">
        <f t="shared" si="4"/>
        <v>2.4600000000000044</v>
      </c>
      <c r="AB20" s="59">
        <f t="shared" si="5"/>
        <v>8.1499999999999986</v>
      </c>
      <c r="AC20" s="83">
        <f t="shared" si="6"/>
        <v>1.7083333333333366</v>
      </c>
      <c r="AD20" s="83">
        <f t="shared" si="7"/>
        <v>5.6597222222222205</v>
      </c>
      <c r="AE20" s="83">
        <f t="shared" si="8"/>
        <v>0</v>
      </c>
      <c r="AF20" s="10">
        <v>3</v>
      </c>
    </row>
    <row r="21" spans="1:32">
      <c r="A21" s="10" t="s">
        <v>24</v>
      </c>
      <c r="B21" s="11" t="s">
        <v>33</v>
      </c>
      <c r="C21" s="11">
        <f>VLOOKUP($B21,'BaseLine Data'!$B9:$AQ21,2,FALSE)</f>
        <v>3</v>
      </c>
      <c r="D21" s="11" t="str">
        <f>VLOOKUP($B21,'BaseLine Data'!$B9:$AQ21,3,FALSE)</f>
        <v>Jamaica Plain</v>
      </c>
      <c r="E21" s="11">
        <f>VLOOKUP($B21,'BaseLine Data'!$B9:$AQ21,4,FALSE)</f>
        <v>3885</v>
      </c>
      <c r="F21" s="11">
        <f>VLOOKUP($B21,'BaseLine Data'!$B9:$AQ21,2,FALSE)</f>
        <v>3</v>
      </c>
      <c r="G21" s="11">
        <f>VLOOKUP($B21,'BaseLine Data'!$B9:$AQ21,6,FALSE)</f>
        <v>3</v>
      </c>
      <c r="H21" s="11">
        <f>VLOOKUP($B21,'BaseLine Data'!$B9:$AQ21,7,FALSE)</f>
        <v>1907</v>
      </c>
      <c r="I21" s="11">
        <f>VLOOKUP($B21,'BaseLine Data'!$B9:$AQ21,13,FALSE)</f>
        <v>3885</v>
      </c>
      <c r="J21" s="11">
        <f>VLOOKUP($B21,'BaseLine Data'!$B9:$AQ21,14,FALSE)</f>
        <v>3885</v>
      </c>
      <c r="K21" s="11">
        <f>VLOOKUP($B21,'BaseLine Data'!$B9:$AQ21,19,FALSE)</f>
        <v>7729</v>
      </c>
      <c r="L21" s="11">
        <f>VLOOKUP($B21,'BaseLine Data'!$B9:$AQ21,20,FALSE)</f>
        <v>1802</v>
      </c>
      <c r="M21" s="47">
        <f>VLOOKUP($B21,'BaseLine Data'!$B9:$AQ21,21,FALSE)</f>
        <v>10.889494199971821</v>
      </c>
      <c r="N21" s="47">
        <f>VLOOKUP($B21,'BaseLine Data'!$B9:$AQ21,22,FALSE)</f>
        <v>2.5388625369839852</v>
      </c>
      <c r="O21" s="47">
        <f>VLOOKUP($B21,'BaseLine Data'!$B9:$AQ21,25,FALSE)</f>
        <v>1.9894465894465894</v>
      </c>
      <c r="P21" s="47">
        <f>VLOOKUP($B21,'BaseLine Data'!$B9:$AQ21,26,FALSE)</f>
        <v>0.46383526383526386</v>
      </c>
      <c r="Q21" s="47">
        <f>VLOOKUP($B21,'BaseLine Data'!$B9:$AQ21,35,FALSE)</f>
        <v>4.38</v>
      </c>
      <c r="R21" s="47">
        <f>VLOOKUP($B21,'BaseLine Data'!$B9:$AQ21,36,FALSE)</f>
        <v>8.08</v>
      </c>
      <c r="S21" s="40">
        <f>VLOOKUP($B21,'BaseLine Data'!$B9:$AQ21,29,FALSE)</f>
        <v>100.8</v>
      </c>
      <c r="T21" s="40">
        <f>VLOOKUP($B21,'BaseLine Data'!$B9:$AQ21,30,FALSE)</f>
        <v>153.69999999999999</v>
      </c>
      <c r="U21" s="48">
        <f t="shared" si="0"/>
        <v>48.239999999999995</v>
      </c>
      <c r="V21" s="48">
        <f t="shared" si="1"/>
        <v>56.739999999999981</v>
      </c>
      <c r="W21" s="59">
        <f t="shared" si="2"/>
        <v>12.416988416988415</v>
      </c>
      <c r="X21" s="59">
        <f t="shared" si="3"/>
        <v>14.604890604890599</v>
      </c>
      <c r="Y21" s="40">
        <f>VLOOKUP($B21,'BaseLine Data'!$B9:$AQ21,32,FALSE)</f>
        <v>50.35</v>
      </c>
      <c r="Z21" s="48">
        <f>VLOOKUP($B21,'BaseLine Data'!$B9:$AQ21,33,FALSE)</f>
        <v>75.52</v>
      </c>
      <c r="AA21" s="59">
        <f t="shared" si="4"/>
        <v>24.07</v>
      </c>
      <c r="AB21" s="59">
        <f t="shared" si="5"/>
        <v>27.039999999999992</v>
      </c>
      <c r="AC21" s="83">
        <f t="shared" si="6"/>
        <v>6.1956241956241955</v>
      </c>
      <c r="AD21" s="83">
        <f t="shared" si="7"/>
        <v>6.960102960102958</v>
      </c>
      <c r="AE21" s="83">
        <f t="shared" si="8"/>
        <v>7.6447876447876411</v>
      </c>
      <c r="AF21">
        <v>3</v>
      </c>
    </row>
    <row r="22" spans="1:32">
      <c r="X22" s="59"/>
      <c r="AD22" s="59"/>
      <c r="AE22" s="59"/>
    </row>
    <row r="23" spans="1:32">
      <c r="B23" s="39"/>
      <c r="J23" s="38"/>
      <c r="L23" s="37"/>
      <c r="M23" s="35"/>
      <c r="N23" s="37"/>
      <c r="P23" s="35"/>
      <c r="Q23" s="35"/>
      <c r="R23" s="35"/>
      <c r="V23" t="s">
        <v>223</v>
      </c>
      <c r="X23" s="59">
        <f>AVERAGE(X9:X11,X13:X15,X17:X18)</f>
        <v>16.843288029015028</v>
      </c>
      <c r="AB23" t="s">
        <v>219</v>
      </c>
      <c r="AD23" s="59">
        <f>AVERAGE(AD9:AD19)</f>
        <v>7.0471588388058075</v>
      </c>
      <c r="AE23" s="59"/>
    </row>
    <row r="24" spans="1:32">
      <c r="B24" s="39"/>
      <c r="L24" s="37"/>
      <c r="M24" s="37"/>
      <c r="N24" s="37"/>
      <c r="V24" t="s">
        <v>224</v>
      </c>
      <c r="X24" s="37">
        <f>AVERAGE(X9:X11,X13:X14)</f>
        <v>15.833008300310482</v>
      </c>
      <c r="AB24" t="s">
        <v>220</v>
      </c>
      <c r="AD24" s="37">
        <f>AVERAGE(AD9:AD14)</f>
        <v>6.8522946099862763</v>
      </c>
      <c r="AE24" s="37"/>
    </row>
    <row r="25" spans="1:32">
      <c r="B25" s="39"/>
      <c r="L25" s="37"/>
      <c r="M25" s="35"/>
      <c r="N25" s="37"/>
      <c r="V25" t="s">
        <v>225</v>
      </c>
      <c r="X25" s="37">
        <f>AVERAGE(X15,X17:X18)</f>
        <v>18.527087576855941</v>
      </c>
      <c r="AB25" t="s">
        <v>221</v>
      </c>
      <c r="AD25" s="37">
        <f>AVERAGE(AD15:AD19)</f>
        <v>7.280995913389245</v>
      </c>
    </row>
    <row r="26" spans="1:32">
      <c r="B26" s="39"/>
      <c r="L26" s="37"/>
      <c r="M26" s="37"/>
      <c r="N26" s="37"/>
      <c r="V26" t="s">
        <v>226</v>
      </c>
      <c r="X26" s="37">
        <f>AVERAGE(X21)</f>
        <v>14.604890604890599</v>
      </c>
      <c r="AB26" t="s">
        <v>222</v>
      </c>
      <c r="AD26" s="37">
        <f>AVERAGE(AD20:AD21)</f>
        <v>6.3099125911625897</v>
      </c>
    </row>
  </sheetData>
  <sortState ref="A9:AF21">
    <sortCondition ref="AF9:AF21"/>
    <sortCondition ref="AD9:AD21"/>
  </sortState>
  <dataValidations disablePrompts="1" count="2">
    <dataValidation type="list" allowBlank="1" showInputMessage="1" showErrorMessage="1" sqref="WVC9:WVC21 WLG9:WLG21 WBK9:WBK21 VRO9:VRO21 VHS9:VHS21 UXW9:UXW21 UOA9:UOA21 UEE9:UEE21 TUI9:TUI21 TKM9:TKM21 TAQ9:TAQ21 SQU9:SQU21 SGY9:SGY21 RXC9:RXC21 RNG9:RNG21 RDK9:RDK21 QTO9:QTO21 QJS9:QJS21 PZW9:PZW21 PQA9:PQA21 PGE9:PGE21 OWI9:OWI21 OMM9:OMM21 OCQ9:OCQ21 NSU9:NSU21 NIY9:NIY21 MZC9:MZC21 MPG9:MPG21 MFK9:MFK21 LVO9:LVO21 LLS9:LLS21 LBW9:LBW21 KSA9:KSA21 KIE9:KIE21 JYI9:JYI21 JOM9:JOM21 JEQ9:JEQ21 IUU9:IUU21 IKY9:IKY21 IBC9:IBC21 HRG9:HRG21 HHK9:HHK21 GXO9:GXO21 GNS9:GNS21 GDW9:GDW21 FUA9:FUA21 FKE9:FKE21 FAI9:FAI21 EQM9:EQM21 EGQ9:EGQ21 DWU9:DWU21 DMY9:DMY21 DDC9:DDC21 CTG9:CTG21 CJK9:CJK21 BZO9:BZO21 BPS9:BPS21 BFW9:BFW21 AWA9:AWA21 AME9:AME21 ACI9:ACI21 SM9:SM21 IQ9:IQ21">
      <formula1>'[1]Project Statistics'!$K$74:$K$79</formula1>
    </dataValidation>
    <dataValidation type="list" allowBlank="1" showInputMessage="1" showErrorMessage="1" sqref="WVD9:WVE21 WLH9:WLI21 WBL9:WBM21 VRP9:VRQ21 VHT9:VHU21 UXX9:UXY21 UOB9:UOC21 UEF9:UEG21 TUJ9:TUK21 TKN9:TKO21 TAR9:TAS21 SQV9:SQW21 SGZ9:SHA21 RXD9:RXE21 RNH9:RNI21 RDL9:RDM21 QTP9:QTQ21 QJT9:QJU21 PZX9:PZY21 PQB9:PQC21 PGF9:PGG21 OWJ9:OWK21 OMN9:OMO21 OCR9:OCS21 NSV9:NSW21 NIZ9:NJA21 MZD9:MZE21 MPH9:MPI21 MFL9:MFM21 LVP9:LVQ21 LLT9:LLU21 LBX9:LBY21 KSB9:KSC21 KIF9:KIG21 JYJ9:JYK21 JON9:JOO21 JER9:JES21 IUV9:IUW21 IKZ9:ILA21 IBD9:IBE21 HRH9:HRI21 HHL9:HHM21 GXP9:GXQ21 GNT9:GNU21 GDX9:GDY21 FUB9:FUC21 FKF9:FKG21 FAJ9:FAK21 EQN9:EQO21 EGR9:EGS21 DWV9:DWW21 DMZ9:DNA21 DDD9:DDE21 CTH9:CTI21 CJL9:CJM21 BZP9:BZQ21 BPT9:BPU21 BFX9:BFY21 AWB9:AWC21 AMF9:AMG21 ACJ9:ACK21 SN9:SO21 IR9:IS21">
      <formula1>'[1]Project Statistics'!$M$74:$M$75</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dimension ref="B3:X48"/>
  <sheetViews>
    <sheetView topLeftCell="D23" zoomScaleNormal="100" workbookViewId="0">
      <selection activeCell="O37" sqref="O37"/>
    </sheetView>
  </sheetViews>
  <sheetFormatPr defaultRowHeight="15"/>
  <cols>
    <col min="2" max="2" width="9.28515625" customWidth="1"/>
    <col min="3" max="3" width="30" customWidth="1"/>
    <col min="6" max="6" width="12" bestFit="1" customWidth="1"/>
  </cols>
  <sheetData>
    <row r="3" spans="3:16" ht="30">
      <c r="C3" t="s">
        <v>86</v>
      </c>
      <c r="D3" s="55" t="s">
        <v>85</v>
      </c>
    </row>
    <row r="4" spans="3:16">
      <c r="C4" t="s">
        <v>73</v>
      </c>
      <c r="D4">
        <v>3.34</v>
      </c>
      <c r="I4" s="76" t="s">
        <v>113</v>
      </c>
      <c r="J4" s="76"/>
      <c r="K4" s="77">
        <f>100000/1000000</f>
        <v>0.1</v>
      </c>
    </row>
    <row r="5" spans="3:16">
      <c r="C5" t="s">
        <v>74</v>
      </c>
      <c r="D5">
        <v>1.0469999999999999</v>
      </c>
      <c r="I5" s="76" t="s">
        <v>114</v>
      </c>
      <c r="J5" s="76"/>
      <c r="K5" s="76">
        <f>3413/1000000</f>
        <v>3.4129999999999998E-3</v>
      </c>
    </row>
    <row r="6" spans="3:16">
      <c r="C6" t="s">
        <v>76</v>
      </c>
      <c r="D6">
        <v>1.01</v>
      </c>
      <c r="I6" t="s">
        <v>118</v>
      </c>
      <c r="K6">
        <f>91.6476/1000</f>
        <v>9.1647599999999996E-2</v>
      </c>
    </row>
    <row r="7" spans="3:16">
      <c r="C7" t="s">
        <v>78</v>
      </c>
      <c r="D7">
        <v>1.01</v>
      </c>
      <c r="I7" s="76" t="s">
        <v>124</v>
      </c>
      <c r="J7" s="76"/>
      <c r="K7" s="76">
        <f>138.6905/1000</f>
        <v>0.13869049999999999</v>
      </c>
    </row>
    <row r="8" spans="3:16">
      <c r="C8" t="s">
        <v>77</v>
      </c>
      <c r="D8">
        <v>1.01</v>
      </c>
    </row>
    <row r="9" spans="3:16">
      <c r="E9" t="s">
        <v>80</v>
      </c>
    </row>
    <row r="10" spans="3:16" ht="15.75">
      <c r="E10" s="68" t="s">
        <v>79</v>
      </c>
    </row>
    <row r="11" spans="3:16" ht="15.75">
      <c r="E11" s="72" t="s">
        <v>84</v>
      </c>
    </row>
    <row r="12" spans="3:16">
      <c r="E12" s="107" t="s">
        <v>87</v>
      </c>
      <c r="F12" s="108"/>
      <c r="G12" s="108"/>
      <c r="H12" s="108"/>
      <c r="I12" s="108"/>
      <c r="J12" s="109"/>
      <c r="K12" s="113" t="s">
        <v>88</v>
      </c>
      <c r="L12" s="114"/>
      <c r="M12" s="114"/>
      <c r="N12" s="114"/>
      <c r="O12" s="114"/>
      <c r="P12" s="114"/>
    </row>
    <row r="13" spans="3:16">
      <c r="E13" s="110"/>
      <c r="F13" s="111"/>
      <c r="G13" s="111"/>
      <c r="H13" s="111"/>
      <c r="I13" s="111"/>
      <c r="J13" s="112"/>
      <c r="K13" s="115"/>
      <c r="L13" s="116"/>
      <c r="M13" s="116"/>
      <c r="N13" s="116"/>
      <c r="O13" s="116"/>
      <c r="P13" s="116"/>
    </row>
    <row r="14" spans="3:16">
      <c r="C14" s="69"/>
      <c r="D14" s="103" t="s">
        <v>81</v>
      </c>
      <c r="E14" s="120" t="s">
        <v>89</v>
      </c>
      <c r="F14" s="120" t="s">
        <v>73</v>
      </c>
      <c r="G14" s="120" t="s">
        <v>74</v>
      </c>
      <c r="H14" s="117" t="s">
        <v>75</v>
      </c>
      <c r="I14" s="117" t="s">
        <v>76</v>
      </c>
      <c r="J14" s="117" t="s">
        <v>77</v>
      </c>
      <c r="K14" s="117" t="s">
        <v>89</v>
      </c>
      <c r="L14" s="117" t="s">
        <v>73</v>
      </c>
      <c r="M14" s="117" t="s">
        <v>74</v>
      </c>
      <c r="N14" s="117" t="s">
        <v>75</v>
      </c>
      <c r="O14" s="117" t="s">
        <v>76</v>
      </c>
      <c r="P14" s="113" t="s">
        <v>77</v>
      </c>
    </row>
    <row r="15" spans="3:16">
      <c r="C15" s="69"/>
      <c r="D15" s="103"/>
      <c r="E15" s="121"/>
      <c r="F15" s="121"/>
      <c r="G15" s="121"/>
      <c r="H15" s="103"/>
      <c r="I15" s="103"/>
      <c r="J15" s="103"/>
      <c r="K15" s="103"/>
      <c r="L15" s="103"/>
      <c r="M15" s="103"/>
      <c r="N15" s="103"/>
      <c r="O15" s="103"/>
      <c r="P15" s="118"/>
    </row>
    <row r="16" spans="3:16">
      <c r="C16" s="105" t="s">
        <v>82</v>
      </c>
      <c r="D16" s="103"/>
      <c r="E16" s="121"/>
      <c r="F16" s="121"/>
      <c r="G16" s="121"/>
      <c r="H16" s="103"/>
      <c r="I16" s="103"/>
      <c r="J16" s="103"/>
      <c r="K16" s="103"/>
      <c r="L16" s="103"/>
      <c r="M16" s="103"/>
      <c r="N16" s="103"/>
      <c r="O16" s="103"/>
      <c r="P16" s="118"/>
    </row>
    <row r="17" spans="2:24" ht="15" customHeight="1">
      <c r="C17" s="106"/>
      <c r="D17" s="104"/>
      <c r="E17" s="122"/>
      <c r="F17" s="122"/>
      <c r="G17" s="122"/>
      <c r="H17" s="104"/>
      <c r="I17" s="104"/>
      <c r="J17" s="104"/>
      <c r="K17" s="104"/>
      <c r="L17" s="104"/>
      <c r="M17" s="104"/>
      <c r="N17" s="104"/>
      <c r="O17" s="104"/>
      <c r="P17" s="119"/>
    </row>
    <row r="18" spans="2:24">
      <c r="C18" s="70"/>
      <c r="E18" s="35"/>
      <c r="F18" s="35"/>
      <c r="G18" s="66"/>
      <c r="H18" s="62"/>
      <c r="I18" s="62"/>
      <c r="J18" s="67"/>
      <c r="K18" s="35"/>
      <c r="L18" s="35"/>
      <c r="M18" s="62"/>
      <c r="N18" s="62"/>
      <c r="O18" s="62"/>
      <c r="P18" s="62"/>
    </row>
    <row r="19" spans="2:24" ht="15" customHeight="1">
      <c r="C19" s="70" t="s">
        <v>83</v>
      </c>
      <c r="D19" s="71">
        <v>20.8</v>
      </c>
      <c r="E19" s="64">
        <v>2.2400000000000002</v>
      </c>
      <c r="F19" s="64">
        <v>0.56999999999999995</v>
      </c>
      <c r="G19" s="64">
        <v>1.06</v>
      </c>
      <c r="H19" s="64">
        <v>0.08</v>
      </c>
      <c r="I19" s="64">
        <v>0.5</v>
      </c>
      <c r="J19" s="65">
        <v>0.02</v>
      </c>
      <c r="K19" s="63">
        <v>107.6</v>
      </c>
      <c r="L19" s="63">
        <v>27.6</v>
      </c>
      <c r="M19" s="63">
        <v>77.3</v>
      </c>
      <c r="N19" s="63">
        <v>38.1</v>
      </c>
      <c r="O19" s="63">
        <v>80.3</v>
      </c>
      <c r="P19" s="63">
        <v>30</v>
      </c>
    </row>
    <row r="20" spans="2:24">
      <c r="D20" t="s">
        <v>112</v>
      </c>
      <c r="E20" s="74"/>
      <c r="F20" s="74">
        <f>F19/E19</f>
        <v>0.25446428571428564</v>
      </c>
      <c r="G20" s="74">
        <f>G19/E19</f>
        <v>0.4732142857142857</v>
      </c>
      <c r="H20" s="74">
        <f>H19/E19</f>
        <v>3.5714285714285712E-2</v>
      </c>
      <c r="I20" s="74">
        <f>I19/E19</f>
        <v>0.2232142857142857</v>
      </c>
      <c r="J20" s="74">
        <f>J19/E19</f>
        <v>8.9285714285714281E-3</v>
      </c>
    </row>
    <row r="21" spans="2:24">
      <c r="C21" t="s">
        <v>96</v>
      </c>
      <c r="D21" s="55" t="s">
        <v>95</v>
      </c>
      <c r="E21" s="37">
        <f>SUM(F21:J21)</f>
        <v>107.21153846153847</v>
      </c>
      <c r="F21" s="37">
        <f>((F19*1000000000000000)/($D$19*1000000))/1000000</f>
        <v>27.403846153846153</v>
      </c>
      <c r="G21" s="37">
        <f>((G19*1000000000000000)/($D$19*1000000))/1000000</f>
        <v>50.961538461538467</v>
      </c>
      <c r="H21" s="37">
        <f>((H19*1000000000000000)/($D$19*1000000))/1000000</f>
        <v>3.8461538461538458</v>
      </c>
      <c r="I21" s="37">
        <f>((I19*1000000000000000)/($D$19*1000000))/1000000</f>
        <v>24.03846153846154</v>
      </c>
      <c r="J21" s="37">
        <f>((J19*1000000000000000)/($D$19*1000000))/1000000</f>
        <v>0.96153846153846145</v>
      </c>
    </row>
    <row r="22" spans="2:24">
      <c r="D22" s="55"/>
      <c r="K22" s="37"/>
      <c r="L22" s="37"/>
      <c r="M22" s="37"/>
      <c r="N22" s="37"/>
      <c r="O22" s="37"/>
      <c r="P22" s="37"/>
    </row>
    <row r="23" spans="2:24">
      <c r="K23" s="37"/>
      <c r="L23" s="37"/>
      <c r="M23" s="37"/>
      <c r="N23" s="37"/>
      <c r="O23" s="37"/>
      <c r="P23" s="37"/>
      <c r="S23" t="s">
        <v>212</v>
      </c>
      <c r="T23" t="s">
        <v>213</v>
      </c>
      <c r="U23" t="s">
        <v>214</v>
      </c>
      <c r="V23" t="s">
        <v>215</v>
      </c>
      <c r="W23" t="s">
        <v>216</v>
      </c>
      <c r="X23" t="s">
        <v>217</v>
      </c>
    </row>
    <row r="24" spans="2:24">
      <c r="J24" s="73"/>
      <c r="K24" s="37"/>
      <c r="S24">
        <v>885</v>
      </c>
      <c r="T24">
        <v>84</v>
      </c>
      <c r="U24">
        <v>132</v>
      </c>
      <c r="V24">
        <v>1873</v>
      </c>
      <c r="W24">
        <v>204</v>
      </c>
      <c r="X24">
        <v>335</v>
      </c>
    </row>
    <row r="25" spans="2:24">
      <c r="B25" t="s">
        <v>94</v>
      </c>
      <c r="J25" s="73"/>
      <c r="K25" s="37"/>
      <c r="S25" s="99">
        <v>6017</v>
      </c>
      <c r="T25" s="99">
        <v>159</v>
      </c>
      <c r="U25" s="99">
        <v>28</v>
      </c>
      <c r="V25" s="99">
        <v>11415</v>
      </c>
      <c r="W25" s="99">
        <v>309</v>
      </c>
      <c r="X25" s="99">
        <v>66</v>
      </c>
    </row>
    <row r="26" spans="2:24">
      <c r="D26" t="s">
        <v>92</v>
      </c>
      <c r="E26" s="37">
        <f>SUM(F26:J26)</f>
        <v>3.6196199999999994</v>
      </c>
      <c r="F26" s="37">
        <f>F19*$D$4</f>
        <v>1.9037999999999997</v>
      </c>
      <c r="G26" s="37">
        <f>G19*$D$5</f>
        <v>1.10982</v>
      </c>
      <c r="H26" s="37">
        <f>H19*$D$6</f>
        <v>8.0799999999999997E-2</v>
      </c>
      <c r="I26" s="37">
        <f>I19*$D$7</f>
        <v>0.505</v>
      </c>
      <c r="J26" s="37">
        <f>J19*$D$8</f>
        <v>2.0199999999999999E-2</v>
      </c>
      <c r="S26">
        <v>5211</v>
      </c>
      <c r="T26">
        <v>128</v>
      </c>
      <c r="V26">
        <v>10597</v>
      </c>
      <c r="W26">
        <v>262</v>
      </c>
    </row>
    <row r="27" spans="2:24">
      <c r="D27" t="s">
        <v>93</v>
      </c>
      <c r="F27" s="74">
        <f>F26/E26</f>
        <v>0.52596681419596536</v>
      </c>
      <c r="G27" s="74">
        <f>G26/E26</f>
        <v>0.30661229631839815</v>
      </c>
      <c r="H27" s="74">
        <f>H26/E26</f>
        <v>2.2322785264751552E-2</v>
      </c>
      <c r="I27" s="74">
        <f>I26/E26</f>
        <v>0.13951740790469722</v>
      </c>
      <c r="J27" s="74">
        <f>J26/E26</f>
        <v>5.5806963161878879E-3</v>
      </c>
      <c r="S27">
        <v>2973</v>
      </c>
      <c r="T27">
        <v>247</v>
      </c>
      <c r="V27">
        <v>6648</v>
      </c>
      <c r="W27">
        <v>523</v>
      </c>
    </row>
    <row r="28" spans="2:24">
      <c r="C28" t="s">
        <v>98</v>
      </c>
      <c r="D28" t="s">
        <v>97</v>
      </c>
      <c r="E28" s="37">
        <f>SUM(F28:J28)</f>
        <v>174.0201923076923</v>
      </c>
      <c r="F28" s="37">
        <f>((F26*1000000000000000)/($D$19*1000000))/1000000</f>
        <v>91.528846153846146</v>
      </c>
      <c r="G28" s="37">
        <f>((G26*1000000000000000)/($D$19*1000000))/1000000</f>
        <v>53.356730769230765</v>
      </c>
      <c r="H28" s="37">
        <f>((H26*1000000000000000)/($D$19*1000000))/1000000</f>
        <v>3.8846153846153846</v>
      </c>
      <c r="I28" s="37">
        <f>((I26*1000000000000000)/($D$19*1000000))/1000000</f>
        <v>24.278846153846153</v>
      </c>
      <c r="J28" s="37">
        <f>((J26*1000000000000000)/($D$19*1000000))/1000000</f>
        <v>0.97115384615384615</v>
      </c>
      <c r="S28">
        <v>4943</v>
      </c>
      <c r="T28">
        <v>171</v>
      </c>
      <c r="V28">
        <v>9894</v>
      </c>
      <c r="W28">
        <v>417</v>
      </c>
    </row>
    <row r="29" spans="2:24">
      <c r="S29">
        <v>5777</v>
      </c>
      <c r="T29">
        <v>404</v>
      </c>
      <c r="V29">
        <v>14196</v>
      </c>
      <c r="W29">
        <v>798</v>
      </c>
    </row>
    <row r="30" spans="2:24">
      <c r="S30">
        <v>3291</v>
      </c>
      <c r="T30">
        <v>106</v>
      </c>
      <c r="V30">
        <v>7167</v>
      </c>
    </row>
    <row r="31" spans="2:24">
      <c r="S31">
        <v>2915</v>
      </c>
      <c r="T31">
        <v>219</v>
      </c>
      <c r="V31">
        <v>6153</v>
      </c>
    </row>
    <row r="32" spans="2:24">
      <c r="C32" t="s">
        <v>104</v>
      </c>
      <c r="S32">
        <v>3627</v>
      </c>
      <c r="T32">
        <v>375</v>
      </c>
      <c r="V32">
        <v>7697</v>
      </c>
    </row>
    <row r="33" spans="3:24" ht="60">
      <c r="C33" t="s">
        <v>119</v>
      </c>
      <c r="E33" s="55" t="s">
        <v>109</v>
      </c>
      <c r="F33" s="55" t="s">
        <v>106</v>
      </c>
      <c r="G33" s="55" t="s">
        <v>115</v>
      </c>
      <c r="H33" s="55" t="s">
        <v>107</v>
      </c>
      <c r="I33" s="55" t="s">
        <v>116</v>
      </c>
      <c r="J33" s="55" t="s">
        <v>108</v>
      </c>
      <c r="K33" s="55" t="s">
        <v>117</v>
      </c>
      <c r="L33" s="55" t="s">
        <v>121</v>
      </c>
      <c r="M33" s="55" t="s">
        <v>122</v>
      </c>
      <c r="N33" s="55" t="s">
        <v>123</v>
      </c>
      <c r="S33">
        <v>3415</v>
      </c>
    </row>
    <row r="34" spans="3:24">
      <c r="C34" t="s">
        <v>105</v>
      </c>
      <c r="E34" s="37">
        <f>SUM(G34,I34,K34, N34)</f>
        <v>383.02491199999997</v>
      </c>
      <c r="F34" s="37">
        <v>52192</v>
      </c>
      <c r="G34" s="37">
        <f>F34*$K$5</f>
        <v>178.13129599999999</v>
      </c>
      <c r="H34" s="37">
        <v>1893</v>
      </c>
      <c r="I34" s="37">
        <f>H34*$K$4</f>
        <v>189.3</v>
      </c>
      <c r="J34" s="37">
        <v>160</v>
      </c>
      <c r="K34" s="37">
        <f>J34*$K$6</f>
        <v>14.663615999999999</v>
      </c>
      <c r="N34">
        <v>0.93</v>
      </c>
      <c r="S34">
        <v>1798</v>
      </c>
    </row>
    <row r="35" spans="3:24">
      <c r="C35" t="s">
        <v>110</v>
      </c>
      <c r="E35" s="74"/>
      <c r="F35" s="74"/>
      <c r="G35" s="74">
        <f>G34/E34</f>
        <v>0.46506451778781427</v>
      </c>
      <c r="H35" s="74"/>
      <c r="I35" s="74">
        <f>I34/E34</f>
        <v>0.49422372819447324</v>
      </c>
      <c r="J35" s="74"/>
      <c r="K35" s="74">
        <f>K34/E34</f>
        <v>3.8283713514696928E-2</v>
      </c>
      <c r="N35" s="74">
        <f>N34/H34</f>
        <v>4.9128367670364507E-4</v>
      </c>
      <c r="S35">
        <v>5613</v>
      </c>
    </row>
    <row r="36" spans="3:24">
      <c r="C36" t="s">
        <v>111</v>
      </c>
      <c r="E36" s="37">
        <f>SUM(G36,I36,K36, N36)</f>
        <v>549.0000076</v>
      </c>
      <c r="F36">
        <v>75640</v>
      </c>
      <c r="G36" s="37">
        <f>F36*$K$5</f>
        <v>258.15931999999998</v>
      </c>
      <c r="H36">
        <v>2513</v>
      </c>
      <c r="I36" s="37">
        <f>H36*$K$4</f>
        <v>251.3</v>
      </c>
      <c r="J36">
        <v>401</v>
      </c>
      <c r="K36" s="37">
        <f>J36*$K$6</f>
        <v>36.750687599999999</v>
      </c>
      <c r="N36">
        <v>2.79</v>
      </c>
      <c r="S36" s="100">
        <v>5727</v>
      </c>
      <c r="T36" s="100"/>
      <c r="U36" s="100"/>
      <c r="V36" s="100"/>
      <c r="W36" s="100"/>
      <c r="X36" s="100"/>
    </row>
    <row r="37" spans="3:24">
      <c r="C37" t="s">
        <v>110</v>
      </c>
      <c r="G37" s="74">
        <f>G36/E36</f>
        <v>0.47023554904591952</v>
      </c>
      <c r="I37" s="74">
        <f>I36/E36</f>
        <v>0.45774134156860802</v>
      </c>
      <c r="K37" s="74">
        <f>K36/E36</f>
        <v>6.694114224270914E-2</v>
      </c>
      <c r="N37" s="74">
        <f>N36/H36</f>
        <v>1.1102268205332273E-3</v>
      </c>
      <c r="P37" s="74"/>
      <c r="S37">
        <f>SUM(S24:S36)</f>
        <v>52192</v>
      </c>
      <c r="T37">
        <f>SUM(T24:T32)</f>
        <v>1893</v>
      </c>
      <c r="U37">
        <f>SUM(U24:U25)</f>
        <v>160</v>
      </c>
      <c r="V37">
        <f>SUM(V24:V32)</f>
        <v>75640</v>
      </c>
      <c r="W37">
        <f>SUM(W24:W29)</f>
        <v>2513</v>
      </c>
      <c r="X37">
        <f>SUM(X24:X25)</f>
        <v>401</v>
      </c>
    </row>
    <row r="38" spans="3:24">
      <c r="K38" s="74"/>
    </row>
    <row r="40" spans="3:24">
      <c r="C40" t="s">
        <v>120</v>
      </c>
      <c r="E40" s="37">
        <f>G40+I40+K40+M40+N40</f>
        <v>2571.5732822</v>
      </c>
      <c r="F40" s="37">
        <v>92989</v>
      </c>
      <c r="G40" s="37">
        <f>F40*$K$5</f>
        <v>317.37145699999996</v>
      </c>
      <c r="H40" s="37">
        <v>11636</v>
      </c>
      <c r="I40" s="37">
        <f>H40*$K$4</f>
        <v>1163.6000000000001</v>
      </c>
      <c r="J40" s="37">
        <v>162</v>
      </c>
      <c r="K40" s="37">
        <f>J40*$K$6</f>
        <v>14.846911199999999</v>
      </c>
      <c r="L40" s="37">
        <v>6388</v>
      </c>
      <c r="M40" s="37">
        <f>L40*$K$7</f>
        <v>885.95491399999992</v>
      </c>
      <c r="N40" s="37">
        <f>49.8+140</f>
        <v>189.8</v>
      </c>
    </row>
    <row r="41" spans="3:24">
      <c r="C41" t="s">
        <v>110</v>
      </c>
      <c r="E41" s="74"/>
      <c r="F41" s="74"/>
      <c r="G41" s="74">
        <f>G40/E40</f>
        <v>0.12341528790829805</v>
      </c>
      <c r="H41" s="74"/>
      <c r="I41" s="74">
        <f>I40/E40</f>
        <v>0.45248564684282755</v>
      </c>
      <c r="J41" s="74"/>
      <c r="K41" s="74">
        <f>K40/E40</f>
        <v>5.7734738896098488E-3</v>
      </c>
      <c r="L41" s="74"/>
      <c r="M41" s="74">
        <f>M40/E40</f>
        <v>0.34451863383883774</v>
      </c>
      <c r="N41" s="74">
        <f>N40/E40</f>
        <v>7.3806957520426833E-2</v>
      </c>
    </row>
    <row r="44" spans="3:24">
      <c r="C44" t="s">
        <v>125</v>
      </c>
      <c r="E44" s="37">
        <f>G44+I44+K44+M44+N44</f>
        <v>1342.6402911</v>
      </c>
      <c r="F44">
        <v>51357</v>
      </c>
      <c r="G44" s="37">
        <f>F44*$K$5</f>
        <v>175.281441</v>
      </c>
      <c r="H44">
        <v>3327</v>
      </c>
      <c r="I44" s="37">
        <f>H44*$K$4</f>
        <v>332.70000000000005</v>
      </c>
      <c r="J44">
        <v>103.5</v>
      </c>
      <c r="K44" s="37">
        <f>J44*$K$6</f>
        <v>9.4855266</v>
      </c>
      <c r="L44">
        <v>4587</v>
      </c>
      <c r="M44" s="37">
        <f>L44*$K$7</f>
        <v>636.17332349999992</v>
      </c>
      <c r="N44">
        <v>189</v>
      </c>
    </row>
    <row r="45" spans="3:24">
      <c r="G45" s="74">
        <f>G44/E44</f>
        <v>0.13054981454220713</v>
      </c>
      <c r="I45" s="74">
        <f>I44/E44</f>
        <v>0.24779533446551436</v>
      </c>
      <c r="K45" s="74">
        <f>K44/E44</f>
        <v>7.0648308879727468E-3</v>
      </c>
      <c r="M45" s="74">
        <f>M44/E44</f>
        <v>0.47382260737817949</v>
      </c>
      <c r="N45" s="74">
        <f>N44/E44</f>
        <v>0.14076741272612625</v>
      </c>
    </row>
    <row r="47" spans="3:24">
      <c r="C47" t="s">
        <v>126</v>
      </c>
      <c r="E47" s="37">
        <f>G47+I47+K47+M47+N47</f>
        <v>638.76629639999999</v>
      </c>
      <c r="F47">
        <v>50156</v>
      </c>
      <c r="G47" s="37">
        <f>F47*$K$5</f>
        <v>171.18242799999999</v>
      </c>
      <c r="H47">
        <v>2641</v>
      </c>
      <c r="I47" s="37">
        <f>H47*$K$4</f>
        <v>264.10000000000002</v>
      </c>
      <c r="J47">
        <v>409</v>
      </c>
      <c r="K47" s="37">
        <f>J47*$K$6</f>
        <v>37.483868399999999</v>
      </c>
      <c r="N47">
        <f>50*8300*40/100000</f>
        <v>166</v>
      </c>
    </row>
    <row r="48" spans="3:24">
      <c r="G48" s="74">
        <f>G47/E47</f>
        <v>0.2679891361907491</v>
      </c>
      <c r="I48" s="74">
        <f>I47/E47</f>
        <v>0.41345324806338674</v>
      </c>
      <c r="K48" s="74">
        <f>K47/E47</f>
        <v>5.8681662779100877E-2</v>
      </c>
      <c r="N48" s="74">
        <f>N47/E47</f>
        <v>0.2598759529667633</v>
      </c>
    </row>
  </sheetData>
  <mergeCells count="16">
    <mergeCell ref="D14:D17"/>
    <mergeCell ref="C16:C17"/>
    <mergeCell ref="E12:J13"/>
    <mergeCell ref="K12:P13"/>
    <mergeCell ref="K14:K17"/>
    <mergeCell ref="L14:L17"/>
    <mergeCell ref="M14:M17"/>
    <mergeCell ref="N14:N17"/>
    <mergeCell ref="O14:O17"/>
    <mergeCell ref="P14:P17"/>
    <mergeCell ref="E14:E17"/>
    <mergeCell ref="F14:F17"/>
    <mergeCell ref="G14:G17"/>
    <mergeCell ref="H14:H17"/>
    <mergeCell ref="I14:I17"/>
    <mergeCell ref="J14:J17"/>
  </mergeCells>
  <pageMargins left="0.7" right="0.7" top="0.75" bottom="0.75" header="0.3" footer="0.3"/>
  <pageSetup orientation="landscape" r:id="rId1"/>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7:Z26"/>
  <sheetViews>
    <sheetView topLeftCell="B22" zoomScaleNormal="100" workbookViewId="0">
      <pane xSplit="1" topLeftCell="M1" activePane="topRight" state="frozen"/>
      <selection activeCell="B9" sqref="B9:X21"/>
      <selection pane="topRight" activeCell="V7" sqref="V1:V1048576"/>
    </sheetView>
  </sheetViews>
  <sheetFormatPr defaultRowHeight="15"/>
  <cols>
    <col min="2" max="2" width="11.7109375" customWidth="1"/>
    <col min="3" max="3" width="8.7109375" customWidth="1"/>
    <col min="4" max="4" width="12.7109375" customWidth="1"/>
    <col min="12" max="15" width="11.5703125" bestFit="1" customWidth="1"/>
    <col min="21" max="21" width="11.5703125" bestFit="1" customWidth="1"/>
  </cols>
  <sheetData>
    <row r="7" spans="1:26" ht="165.75" thickBot="1">
      <c r="B7" s="1" t="s">
        <v>0</v>
      </c>
      <c r="C7" s="11" t="str">
        <f>VLOOKUP($B7,'BaseLine Data'!$B7:$AQ21,2,FALSE)</f>
        <v>Number of Housing Units</v>
      </c>
      <c r="D7" s="11" t="str">
        <f>VLOOKUP($B7,'BaseLine Data'!$B7:$AQ21,3,FALSE)</f>
        <v>Location</v>
      </c>
      <c r="E7" s="11" t="str">
        <f>VLOOKUP($B7,'BaseLine Data'!$B7:$AQ21,4,FALSE)</f>
        <v>Pre-DER Cond. Floor Area
(sq.ft.)</v>
      </c>
      <c r="F7" s="11" t="str">
        <f>VLOOKUP($B7,'BaseLine Data'!$B7:$AQ21,6,FALSE)</f>
        <v>Stories</v>
      </c>
      <c r="G7" s="11" t="str">
        <f>VLOOKUP($B7,'BaseLine Data'!$B7:$AQ21,7,FALSE)</f>
        <v>Approx. Year Built</v>
      </c>
      <c r="H7" s="11" t="str">
        <f>VLOOKUP($B7,'BaseLine Data'!$B7:$AQ21,13,FALSE)</f>
        <v>Pre-DER Cond. Floor Area
(sq.ft.)</v>
      </c>
      <c r="I7" s="11" t="str">
        <f>VLOOKUP($B7,'BaseLine Data'!$B7:$AQ21,14,FALSE)</f>
        <v>Post-DER Con. Floor Area        (sq.ft.)</v>
      </c>
      <c r="J7" s="11" t="str">
        <f>VLOOKUP($B7,'BaseLine Data'!$B7:$AQ21,19,FALSE)</f>
        <v>Pre-DER   CFM 50</v>
      </c>
      <c r="K7" s="11" t="str">
        <f>VLOOKUP($B7,'BaseLine Data'!$B7:$AQ21,20,FALSE)</f>
        <v>Post-DER CFM 50</v>
      </c>
      <c r="L7" s="11" t="str">
        <f>VLOOKUP($B7,'BaseLine Data'!$B7:$AQ21,21,FALSE)</f>
        <v xml:space="preserve">Pre-DER   ACH 50 </v>
      </c>
      <c r="M7" s="11" t="str">
        <f>VLOOKUP($B7,'BaseLine Data'!$B7:$AQ21,22,FALSE)</f>
        <v xml:space="preserve">Post-DER ACH 50 </v>
      </c>
      <c r="N7" s="11" t="str">
        <f>VLOOKUP($B7,'BaseLine Data'!$B7:$AQ21,25,FALSE)</f>
        <v>Pre-DER CFM/sf Conditioned floor area</v>
      </c>
      <c r="O7" s="11" t="str">
        <f>VLOOKUP($B7,'BaseLine Data'!$B7:$AQ21,26,FALSE)</f>
        <v>Post-DER CFM/sf Conditioned floor area</v>
      </c>
      <c r="P7" s="11" t="str">
        <f>VLOOKUP($B7,'BaseLine Data'!$B7:$AQ21,27,FALSE)</f>
        <v>12 months pre-retrofit site MMBtu</v>
      </c>
      <c r="Q7" s="11" t="str">
        <f>VLOOKUP($B7,'BaseLine Data'!$B7:$AQ21,28,FALSE)</f>
        <v>12 months pre-retrofit source MMBtu</v>
      </c>
      <c r="R7" s="11" t="str">
        <f>VLOOKUP($B7,'BaseLine Data'!$B7:$AQ21,29,FALSE)</f>
        <v>12 months site MMBtu</v>
      </c>
      <c r="S7" s="11" t="str">
        <f>VLOOKUP($B7,'BaseLine Data'!$B7:$AQ21,30,FALSE)</f>
        <v>12 months source MMBtu</v>
      </c>
      <c r="T7" s="11" t="str">
        <f>VLOOKUP($B7,'BaseLine Data'!$B7:$AQ21,32,FALSE)</f>
        <v>6 months site MMBtu</v>
      </c>
      <c r="U7" s="11" t="str">
        <f>VLOOKUP($B7,'BaseLine Data'!$B7:$AQ21,33,FALSE)</f>
        <v>6 months source MMBtu</v>
      </c>
      <c r="V7" s="11" t="s">
        <v>100</v>
      </c>
      <c r="W7" s="55" t="s">
        <v>101</v>
      </c>
      <c r="X7" s="55" t="s">
        <v>228</v>
      </c>
      <c r="Y7" s="55" t="s">
        <v>227</v>
      </c>
      <c r="Z7" s="58" t="s">
        <v>144</v>
      </c>
    </row>
    <row r="8" spans="1:26" ht="71.25">
      <c r="A8" s="9"/>
      <c r="B8" s="49" t="s">
        <v>23</v>
      </c>
      <c r="C8" s="50"/>
      <c r="D8" s="50"/>
      <c r="E8" s="50"/>
      <c r="F8" s="50"/>
      <c r="G8" s="50"/>
      <c r="H8" s="51"/>
      <c r="I8" s="52"/>
      <c r="J8" s="53"/>
      <c r="K8" s="53"/>
      <c r="L8" s="54"/>
      <c r="M8" s="41"/>
      <c r="N8" s="53"/>
      <c r="O8" s="41"/>
    </row>
    <row r="9" spans="1:26">
      <c r="A9" s="10" t="s">
        <v>24</v>
      </c>
      <c r="B9" s="11" t="s">
        <v>25</v>
      </c>
      <c r="C9" s="11">
        <f>VLOOKUP($B9,'BaseLine Data'!$B9:$AQ21,2,FALSE)</f>
        <v>1</v>
      </c>
      <c r="D9" s="11" t="str">
        <f>VLOOKUP($B9,'BaseLine Data'!$B9:$AQ21,3,FALSE)</f>
        <v>Belchertown</v>
      </c>
      <c r="E9" s="11">
        <f>VLOOKUP($B9,'BaseLine Data'!$B9:$AQ21,4,FALSE)</f>
        <v>1352</v>
      </c>
      <c r="F9" s="11">
        <f>VLOOKUP($B9,'BaseLine Data'!$B9:$AQ21,6,FALSE)</f>
        <v>1.5</v>
      </c>
      <c r="G9" s="11">
        <f>VLOOKUP($B9,'BaseLine Data'!$B9:$AQ21,7,FALSE)</f>
        <v>1760</v>
      </c>
      <c r="H9" s="11">
        <f>VLOOKUP($B9,'BaseLine Data'!$B9:$AQ21,13,FALSE)</f>
        <v>1435</v>
      </c>
      <c r="I9" s="11">
        <f>VLOOKUP($B9,'BaseLine Data'!$B9:$AQ21,14,FALSE)</f>
        <v>1907</v>
      </c>
      <c r="J9" s="11">
        <f>VLOOKUP($B9,'BaseLine Data'!$B9:$AQ21,19,FALSE)</f>
        <v>9079</v>
      </c>
      <c r="K9" s="11">
        <f>VLOOKUP($B9,'BaseLine Data'!$B9:$AQ21,20,FALSE)</f>
        <v>468</v>
      </c>
      <c r="L9" s="47">
        <f>VLOOKUP($B9,'BaseLine Data'!$B9:$AQ21,21,FALSE)</f>
        <v>57.656646909398809</v>
      </c>
      <c r="M9" s="47">
        <f>VLOOKUP($B9,'BaseLine Data'!$B9:$AQ21,22,FALSE)</f>
        <v>1.8755009350788139</v>
      </c>
      <c r="N9" s="47">
        <f>VLOOKUP($B9,'BaseLine Data'!$B9:$AQ21,25,FALSE)</f>
        <v>6.3268292682926832</v>
      </c>
      <c r="O9" s="47">
        <f>VLOOKUP($B9,'BaseLine Data'!$B9:$AQ21,26,FALSE)</f>
        <v>0.2454116413214473</v>
      </c>
      <c r="P9" s="40">
        <f>VLOOKUP($B9,'BaseLine Data'!$B9:$AQ21,27,FALSE)</f>
        <v>193.64</v>
      </c>
      <c r="Q9" s="40">
        <f>VLOOKUP($B9,'BaseLine Data'!$B9:$AQ21,28,FALSE)</f>
        <v>210.87</v>
      </c>
      <c r="R9" s="40">
        <f>VLOOKUP($B9,'BaseLine Data'!$B9:$AQ21,29,FALSE)</f>
        <v>37.130000000000003</v>
      </c>
      <c r="S9" s="40">
        <f>VLOOKUP($B9,'BaseLine Data'!$B9:$AQ21,30,FALSE)</f>
        <v>52.4</v>
      </c>
      <c r="T9" s="40">
        <f>VLOOKUP($B9,'BaseLine Data'!$B9:$AQ21,32,FALSE)</f>
        <v>15.1</v>
      </c>
      <c r="U9" s="48">
        <f>VLOOKUP($B9,'BaseLine Data'!$B9:$AQ21,33,FALSE)</f>
        <v>22.29</v>
      </c>
      <c r="V9" s="37">
        <f>MAX(S9,U9)</f>
        <v>52.4</v>
      </c>
      <c r="W9">
        <v>0</v>
      </c>
      <c r="X9" s="37">
        <f>Q9-(V9+W9)</f>
        <v>158.47</v>
      </c>
      <c r="Y9" s="37">
        <v>0</v>
      </c>
      <c r="Z9" s="73">
        <f>X9/Q9</f>
        <v>0.75150566699862476</v>
      </c>
    </row>
    <row r="10" spans="1:26" ht="30">
      <c r="A10" s="10" t="s">
        <v>24</v>
      </c>
      <c r="B10" s="17" t="s">
        <v>26</v>
      </c>
      <c r="C10" s="11">
        <f>VLOOKUP($B10,'BaseLine Data'!$B9:$AQ21,2,FALSE)</f>
        <v>2</v>
      </c>
      <c r="D10" s="11" t="str">
        <f>VLOOKUP($B10,'BaseLine Data'!$B9:$AQ21,3,FALSE)</f>
        <v>Belmont</v>
      </c>
      <c r="E10" s="11">
        <f>VLOOKUP($B10,'BaseLine Data'!$B9:$AQ21,4,FALSE)</f>
        <v>2728</v>
      </c>
      <c r="F10" s="11">
        <f>VLOOKUP($B10,'BaseLine Data'!$B9:$AQ21,6,FALSE)</f>
        <v>3</v>
      </c>
      <c r="G10" s="11">
        <f>VLOOKUP($B10,'BaseLine Data'!$B9:$AQ21,7,FALSE)</f>
        <v>1925</v>
      </c>
      <c r="H10" s="11">
        <f>VLOOKUP($B10,'BaseLine Data'!$B9:$AQ21,13,FALSE)</f>
        <v>3417</v>
      </c>
      <c r="I10" s="11">
        <f>VLOOKUP($B10,'BaseLine Data'!$B9:$AQ21,14,FALSE)</f>
        <v>4768</v>
      </c>
      <c r="J10" s="11">
        <f>VLOOKUP($B10,'BaseLine Data'!$B9:$AQ21,19,FALSE)</f>
        <v>5700</v>
      </c>
      <c r="K10" s="11">
        <f>VLOOKUP($B10,'BaseLine Data'!$B9:$AQ21,20,FALSE)</f>
        <v>590</v>
      </c>
      <c r="L10" s="47">
        <f>VLOOKUP($B10,'BaseLine Data'!$B9:$AQ21,21,FALSE)</f>
        <v>9.2687950566426363</v>
      </c>
      <c r="M10" s="47">
        <f>VLOOKUP($B10,'BaseLine Data'!$B9:$AQ21,22,FALSE)</f>
        <v>0.74204502578292031</v>
      </c>
      <c r="N10" s="47">
        <f>VLOOKUP($B10,'BaseLine Data'!$B9:$AQ21,25,FALSE)</f>
        <v>1.6681299385425812</v>
      </c>
      <c r="O10" s="47">
        <f>VLOOKUP($B10,'BaseLine Data'!$B9:$AQ21,26,FALSE)</f>
        <v>0.12374161073825503</v>
      </c>
      <c r="P10" s="40">
        <f>VLOOKUP($B10,'BaseLine Data'!$B9:$AQ21,27,FALSE)</f>
        <v>485.78</v>
      </c>
      <c r="Q10" s="40">
        <f>VLOOKUP($B10,'BaseLine Data'!$B9:$AQ21,28,FALSE)</f>
        <v>561.85</v>
      </c>
      <c r="R10" s="40">
        <f>VLOOKUP($B10,'BaseLine Data'!$B9:$AQ21,29,FALSE)</f>
        <v>59.36</v>
      </c>
      <c r="S10" s="40">
        <f>VLOOKUP($B10,'BaseLine Data'!$B9:$AQ21,30,FALSE)</f>
        <v>151.47999999999999</v>
      </c>
      <c r="T10" s="40">
        <f>VLOOKUP($B10,'BaseLine Data'!$B9:$AQ21,32,FALSE)</f>
        <v>28.94</v>
      </c>
      <c r="U10" s="48">
        <f>VLOOKUP($B10,'BaseLine Data'!$B9:$AQ21,33,FALSE)</f>
        <v>77.39</v>
      </c>
      <c r="V10" s="37">
        <f>MAX(S10,U10)</f>
        <v>151.47999999999999</v>
      </c>
      <c r="W10">
        <v>0</v>
      </c>
      <c r="X10" s="37">
        <v>0</v>
      </c>
      <c r="Y10" s="37">
        <f>Q10-(V10+W10)</f>
        <v>410.37</v>
      </c>
      <c r="Z10" s="73">
        <f>X10/Q10</f>
        <v>0</v>
      </c>
    </row>
    <row r="11" spans="1:26">
      <c r="A11" s="10" t="s">
        <v>24</v>
      </c>
      <c r="B11" s="11" t="s">
        <v>27</v>
      </c>
      <c r="C11" s="11">
        <f>VLOOKUP($B11,'BaseLine Data'!$B9:$AQ21,2,FALSE)</f>
        <v>1</v>
      </c>
      <c r="D11" s="11" t="str">
        <f>VLOOKUP($B11,'BaseLine Data'!$B9:$AQ21,3,FALSE)</f>
        <v>Millbury</v>
      </c>
      <c r="E11" s="11">
        <f>VLOOKUP($B11,'BaseLine Data'!$B9:$AQ21,4,FALSE)</f>
        <v>1100</v>
      </c>
      <c r="F11" s="11">
        <f>VLOOKUP($B11,'BaseLine Data'!$B9:$AQ21,6,FALSE)</f>
        <v>1.5</v>
      </c>
      <c r="G11" s="11">
        <f>VLOOKUP($B11,'BaseLine Data'!$B9:$AQ21,7,FALSE)</f>
        <v>1953</v>
      </c>
      <c r="H11" s="11">
        <f>VLOOKUP($B11,'BaseLine Data'!$B9:$AQ21,13,FALSE)</f>
        <v>1868</v>
      </c>
      <c r="I11" s="11">
        <f>VLOOKUP($B11,'BaseLine Data'!$B9:$AQ21,14,FALSE)</f>
        <v>1868</v>
      </c>
      <c r="J11" s="11">
        <f>VLOOKUP($B11,'BaseLine Data'!$B9:$AQ21,19,FALSE)</f>
        <v>2860</v>
      </c>
      <c r="K11" s="11">
        <f>VLOOKUP($B11,'BaseLine Data'!$B9:$AQ21,20,FALSE)</f>
        <v>402</v>
      </c>
      <c r="L11" s="47">
        <f>VLOOKUP($B11,'BaseLine Data'!$B9:$AQ21,21,FALSE)</f>
        <v>10.4</v>
      </c>
      <c r="M11" s="47">
        <f>VLOOKUP($B11,'BaseLine Data'!$B9:$AQ21,22,FALSE)</f>
        <v>1.4188235294117648</v>
      </c>
      <c r="N11" s="47">
        <f>VLOOKUP($B11,'BaseLine Data'!$B9:$AQ21,25,FALSE)</f>
        <v>1.5310492505353319</v>
      </c>
      <c r="O11" s="47">
        <f>VLOOKUP($B11,'BaseLine Data'!$B9:$AQ21,26,FALSE)</f>
        <v>0.21520342612419699</v>
      </c>
      <c r="P11" s="40">
        <f>VLOOKUP($B11,'BaseLine Data'!$B9:$AQ21,27,FALSE)</f>
        <v>125.16</v>
      </c>
      <c r="Q11" s="40">
        <f>VLOOKUP($B11,'BaseLine Data'!$B9:$AQ21,28,FALSE)</f>
        <v>188.05</v>
      </c>
      <c r="R11" s="40">
        <f>VLOOKUP($B11,'BaseLine Data'!$B9:$AQ21,29,FALSE)</f>
        <v>45.04</v>
      </c>
      <c r="S11" s="40">
        <f>VLOOKUP($B11,'BaseLine Data'!$B9:$AQ21,30,FALSE)</f>
        <v>129.72999999999999</v>
      </c>
      <c r="T11" s="40">
        <f>VLOOKUP($B11,'BaseLine Data'!$B9:$AQ21,32,FALSE)</f>
        <v>21.26</v>
      </c>
      <c r="U11" s="48">
        <f>VLOOKUP($B11,'BaseLine Data'!$B9:$AQ21,33,FALSE)</f>
        <v>62.9</v>
      </c>
      <c r="V11" s="37">
        <f>MAX(S11,U11)</f>
        <v>129.72999999999999</v>
      </c>
      <c r="W11">
        <v>0</v>
      </c>
      <c r="X11" s="37">
        <f>Q11-(V11+W11)</f>
        <v>58.320000000000022</v>
      </c>
      <c r="Y11" s="37">
        <v>0</v>
      </c>
      <c r="Z11" s="73">
        <f>X11/Q11</f>
        <v>0.31013028449880359</v>
      </c>
    </row>
    <row r="12" spans="1:26">
      <c r="A12" s="10" t="s">
        <v>24</v>
      </c>
      <c r="B12" s="11" t="s">
        <v>28</v>
      </c>
      <c r="C12" s="11">
        <f>VLOOKUP($B12,'BaseLine Data'!$B9:$AQ21,2,FALSE)</f>
        <v>1</v>
      </c>
      <c r="D12" s="11" t="str">
        <f>VLOOKUP($B12,'BaseLine Data'!$B9:$AQ21,3,FALSE)</f>
        <v>Milton</v>
      </c>
      <c r="E12" s="11">
        <f>VLOOKUP($B12,'BaseLine Data'!$B9:$AQ21,4,FALSE)</f>
        <v>1600</v>
      </c>
      <c r="F12" s="11">
        <f>VLOOKUP($B12,'BaseLine Data'!$B9:$AQ21,6,FALSE)</f>
        <v>2</v>
      </c>
      <c r="G12" s="11">
        <f>VLOOKUP($B12,'BaseLine Data'!$B9:$AQ21,7,FALSE)</f>
        <v>1960</v>
      </c>
      <c r="H12" s="11">
        <f>VLOOKUP($B12,'BaseLine Data'!$B9:$AQ21,13,FALSE)</f>
        <v>2368</v>
      </c>
      <c r="I12" s="11">
        <f>VLOOKUP($B12,'BaseLine Data'!$B9:$AQ21,14,FALSE)</f>
        <v>2368</v>
      </c>
      <c r="J12" s="11">
        <f>VLOOKUP($B12,'BaseLine Data'!$B9:$AQ21,19,FALSE)</f>
        <v>1695</v>
      </c>
      <c r="K12" s="11">
        <f>VLOOKUP($B12,'BaseLine Data'!$B9:$AQ21,20,FALSE)</f>
        <v>584</v>
      </c>
      <c r="L12" s="47">
        <f>VLOOKUP($B12,'BaseLine Data'!$B9:$AQ21,21,FALSE)</f>
        <v>4.5285337703049304</v>
      </c>
      <c r="M12" s="47">
        <f>VLOOKUP($B12,'BaseLine Data'!$B9:$AQ21,22,FALSE)</f>
        <v>1.4326835012429675</v>
      </c>
      <c r="N12" s="47">
        <f>VLOOKUP($B12,'BaseLine Data'!$B9:$AQ21,25,FALSE)</f>
        <v>0.71579391891891897</v>
      </c>
      <c r="O12" s="47">
        <f>VLOOKUP($B12,'BaseLine Data'!$B9:$AQ21,26,FALSE)</f>
        <v>0.24662162162162163</v>
      </c>
      <c r="P12" s="40">
        <f>VLOOKUP($B12,'BaseLine Data'!$B9:$AQ21,27,FALSE)</f>
        <v>117.9</v>
      </c>
      <c r="Q12" s="40">
        <f>VLOOKUP($B12,'BaseLine Data'!$B9:$AQ21,28,FALSE)</f>
        <v>186.72</v>
      </c>
      <c r="R12" s="40">
        <f>VLOOKUP($B12,'BaseLine Data'!$B9:$AQ21,29,FALSE)</f>
        <v>53.59</v>
      </c>
      <c r="S12" s="40">
        <f>VLOOKUP($B12,'BaseLine Data'!$B9:$AQ21,30,FALSE)</f>
        <v>108.13</v>
      </c>
      <c r="T12" s="40">
        <f>VLOOKUP($B12,'BaseLine Data'!$B9:$AQ21,32,FALSE)</f>
        <v>26.05</v>
      </c>
      <c r="U12" s="48">
        <f>VLOOKUP($B12,'BaseLine Data'!$B9:$AQ21,33,FALSE)</f>
        <v>50.54</v>
      </c>
      <c r="V12" s="37">
        <f>MAX(S12,U12)</f>
        <v>108.13</v>
      </c>
      <c r="W12">
        <v>0</v>
      </c>
      <c r="X12" s="37">
        <v>0</v>
      </c>
      <c r="Y12" s="37">
        <f>Q12-(V12+W12)</f>
        <v>78.59</v>
      </c>
      <c r="Z12" s="73">
        <f>X12/Q12</f>
        <v>0</v>
      </c>
    </row>
    <row r="13" spans="1:26">
      <c r="A13" s="10" t="s">
        <v>24</v>
      </c>
      <c r="B13" s="11" t="s">
        <v>29</v>
      </c>
      <c r="C13" s="11">
        <f>VLOOKUP($B13,'BaseLine Data'!$B9:$AQ21,2,FALSE)</f>
        <v>1</v>
      </c>
      <c r="D13" s="11" t="str">
        <f>VLOOKUP($B13,'BaseLine Data'!$B9:$AY21,3,FALSE)</f>
        <v>Quincy</v>
      </c>
      <c r="E13" s="11">
        <f>VLOOKUP($B13,'BaseLine Data'!$B9:$AY21,4,FALSE)</f>
        <v>1808</v>
      </c>
      <c r="F13" s="11">
        <f>VLOOKUP($B13,'BaseLine Data'!$B9:$AQ21,6,FALSE)</f>
        <v>1.5</v>
      </c>
      <c r="G13" s="11">
        <f>VLOOKUP($B13,'BaseLine Data'!$B9:$AQ21,7,FALSE)</f>
        <v>1905</v>
      </c>
      <c r="H13" s="11">
        <f>VLOOKUP($B13,'BaseLine Data'!$B9:$AQ21,13,FALSE)</f>
        <v>3484</v>
      </c>
      <c r="I13" s="11">
        <f>VLOOKUP($B13,'BaseLine Data'!$B9:$AQ21,14,FALSE)</f>
        <v>4576</v>
      </c>
      <c r="J13" s="11">
        <f>VLOOKUP($B13,'BaseLine Data'!$B9:$AQ21,19,FALSE)</f>
        <v>5050</v>
      </c>
      <c r="K13" s="11">
        <f>VLOOKUP($B13,'BaseLine Data'!$B9:$AQ21,20,FALSE)</f>
        <v>762</v>
      </c>
      <c r="L13" s="47">
        <f>VLOOKUP($B13,'BaseLine Data'!$B9:$AQ21,21,FALSE)</f>
        <v>18.53</v>
      </c>
      <c r="M13" s="47">
        <f>VLOOKUP($B13,'BaseLine Data'!$B9:$AQ21,22,FALSE)</f>
        <v>1.2579100863919002</v>
      </c>
      <c r="N13" s="47">
        <f>VLOOKUP($B13,'BaseLine Data'!$B9:$AQ21,25,FALSE)</f>
        <v>1.4494833524684272</v>
      </c>
      <c r="O13" s="47">
        <f>VLOOKUP($B13,'BaseLine Data'!$B9:$AQ21,26,FALSE)</f>
        <v>0.16652097902097901</v>
      </c>
      <c r="P13" s="40">
        <f>VLOOKUP($B13,'BaseLine Data'!$B9:$AQ21,27,FALSE)</f>
        <v>223.29</v>
      </c>
      <c r="Q13" s="40">
        <f>VLOOKUP($B13,'BaseLine Data'!$B9:$AQ21,28,FALSE)</f>
        <v>325.38</v>
      </c>
      <c r="R13" s="40">
        <f>VLOOKUP($B13,'BaseLine Data'!$B9:$AQ21,29,FALSE)</f>
        <v>59.97</v>
      </c>
      <c r="S13" s="40">
        <f>VLOOKUP($B13,'BaseLine Data'!$B9:$AQ21,30,FALSE)</f>
        <v>140.22</v>
      </c>
      <c r="T13" s="40">
        <f>VLOOKUP($B13,'BaseLine Data'!$B9:$AQ21,32,FALSE)</f>
        <v>29.67</v>
      </c>
      <c r="U13" s="48">
        <f>VLOOKUP($B13,'BaseLine Data'!$B9:$AQ21,33,FALSE)</f>
        <v>69.75</v>
      </c>
      <c r="V13" s="37">
        <f>MAX(S13,U13)</f>
        <v>140.22</v>
      </c>
      <c r="W13">
        <v>0</v>
      </c>
      <c r="X13" s="37">
        <v>0</v>
      </c>
      <c r="Y13" s="37">
        <f>Q13-(V13+W13)</f>
        <v>185.16</v>
      </c>
      <c r="Z13" s="73">
        <f>X13/Q13</f>
        <v>0</v>
      </c>
    </row>
    <row r="14" spans="1:26" ht="30">
      <c r="A14" s="10" t="s">
        <v>24</v>
      </c>
      <c r="B14" s="11" t="s">
        <v>30</v>
      </c>
      <c r="C14" s="11">
        <f>VLOOKUP($B14,'BaseLine Data'!$B9:$AQ21,2,FALSE)</f>
        <v>2</v>
      </c>
      <c r="D14" s="11" t="str">
        <f>VLOOKUP($B14,'BaseLine Data'!$B9:$AQ21,3,FALSE)</f>
        <v>Arlington</v>
      </c>
      <c r="E14" s="11">
        <f>VLOOKUP($B14,'BaseLine Data'!$B9:$AQ21,4,FALSE)</f>
        <v>2112</v>
      </c>
      <c r="F14" s="11">
        <f>VLOOKUP($B14,'BaseLine Data'!$B9:$AQ21,6,FALSE)</f>
        <v>2</v>
      </c>
      <c r="G14" s="11">
        <f>VLOOKUP($B14,'BaseLine Data'!$B9:$AQ21,7,FALSE)</f>
        <v>1910</v>
      </c>
      <c r="H14" s="11">
        <f>VLOOKUP($B14,'BaseLine Data'!$B9:$AQ21,13,FALSE)</f>
        <v>2502</v>
      </c>
      <c r="I14" s="11">
        <f>VLOOKUP($B14,'BaseLine Data'!$B9:$AQ21,14,FALSE)</f>
        <v>3627</v>
      </c>
      <c r="J14" s="11">
        <f>VLOOKUP($B14,'BaseLine Data'!$B9:$AQ21,19,FALSE)</f>
        <v>8730</v>
      </c>
      <c r="K14" s="11">
        <f>VLOOKUP($B14,'BaseLine Data'!$B9:$AQ21,20,FALSE)</f>
        <v>3586</v>
      </c>
      <c r="L14" s="47">
        <f>VLOOKUP($B14,'BaseLine Data'!$B9:$AQ21,21,FALSE)</f>
        <v>25.986009822890313</v>
      </c>
      <c r="M14" s="47">
        <f>VLOOKUP($B14,'BaseLine Data'!$B9:$AQ21,22,FALSE)</f>
        <v>7.2571505666486775</v>
      </c>
      <c r="N14" s="47">
        <f>VLOOKUP($B14,'BaseLine Data'!$B9:$AQ21,25,FALSE)</f>
        <v>3.4892086330935252</v>
      </c>
      <c r="O14" s="47">
        <f>VLOOKUP($B14,'BaseLine Data'!$B9:$AQ21,26,FALSE)</f>
        <v>0.98869589192169838</v>
      </c>
      <c r="P14" s="40">
        <f>VLOOKUP($B14,'BaseLine Data'!$B9:$AQ21,27,FALSE)</f>
        <v>390.16</v>
      </c>
      <c r="Q14" s="40">
        <f>VLOOKUP($B14,'BaseLine Data'!$B9:$AQ21,28,FALSE)</f>
        <v>477.88</v>
      </c>
      <c r="R14" s="40">
        <f>VLOOKUP($B14,'BaseLine Data'!$B9:$AQ21,29,FALSE)</f>
        <v>100.75</v>
      </c>
      <c r="S14" s="40">
        <f>VLOOKUP($B14,'BaseLine Data'!$B9:$AQ21,30,FALSE)</f>
        <v>216.58</v>
      </c>
      <c r="T14" s="40">
        <f>VLOOKUP($B14,'BaseLine Data'!$B9:$AQ21,32,FALSE)</f>
        <v>44.42</v>
      </c>
      <c r="U14" s="48">
        <f>VLOOKUP($B14,'BaseLine Data'!$B9:$AQ21,33,FALSE)</f>
        <v>91.72</v>
      </c>
      <c r="V14" s="37">
        <f>MAX(S14,U14)</f>
        <v>216.58</v>
      </c>
      <c r="W14">
        <v>0</v>
      </c>
      <c r="X14" s="37">
        <v>0</v>
      </c>
      <c r="Y14" s="37">
        <f>Q14-(V14+W14)</f>
        <v>261.29999999999995</v>
      </c>
      <c r="Z14" s="73">
        <f>X14/Q14</f>
        <v>0</v>
      </c>
    </row>
    <row r="15" spans="1:26">
      <c r="A15" s="10" t="s">
        <v>24</v>
      </c>
      <c r="B15" s="11" t="s">
        <v>32</v>
      </c>
      <c r="C15" s="11">
        <f>VLOOKUP($B15,'BaseLine Data'!$B9:$AQ21,2,FALSE)</f>
        <v>1</v>
      </c>
      <c r="D15" s="11" t="str">
        <f>VLOOKUP($B15,'BaseLine Data'!$B9:$AQ21,3,FALSE)</f>
        <v>Newton</v>
      </c>
      <c r="E15" s="11">
        <f>VLOOKUP($B15,'BaseLine Data'!$B9:$AQ21,4,FALSE)</f>
        <v>1724</v>
      </c>
      <c r="F15" s="11">
        <f>VLOOKUP($B15,'BaseLine Data'!$B9:$AQ21,6,FALSE)</f>
        <v>1</v>
      </c>
      <c r="G15" s="11">
        <f>VLOOKUP($B15,'BaseLine Data'!$B9:$AQ21,7,FALSE)</f>
        <v>1930</v>
      </c>
      <c r="H15" s="11">
        <f>VLOOKUP($B15,'BaseLine Data'!$B9:$AQ21,13,FALSE)</f>
        <v>1815</v>
      </c>
      <c r="I15" s="11">
        <f>VLOOKUP($B15,'BaseLine Data'!$B9:$AQ21,14,FALSE)</f>
        <v>2199</v>
      </c>
      <c r="J15" s="11">
        <f>VLOOKUP($B15,'BaseLine Data'!$B9:$AQ21,19,FALSE)</f>
        <v>3199</v>
      </c>
      <c r="K15" s="11">
        <f>VLOOKUP($B15,'BaseLine Data'!$B9:$AQ21,20,FALSE)</f>
        <v>1299</v>
      </c>
      <c r="L15" s="47">
        <f>VLOOKUP($B15,'BaseLine Data'!$B9:$AQ21,21,FALSE)</f>
        <v>10.192767245499441</v>
      </c>
      <c r="M15" s="47">
        <f>VLOOKUP($B15,'BaseLine Data'!$B9:$AQ21,22,FALSE)</f>
        <v>3.558254200146092</v>
      </c>
      <c r="N15" s="47">
        <f>VLOOKUP($B15,'BaseLine Data'!$B9:$AQ21,25,FALSE)</f>
        <v>1.7625344352617081</v>
      </c>
      <c r="O15" s="47">
        <f>VLOOKUP($B15,'BaseLine Data'!$B9:$AQ21,26,FALSE)</f>
        <v>0.59072305593451568</v>
      </c>
      <c r="P15" s="40">
        <f>VLOOKUP($B15,'BaseLine Data'!$B9:$AQ21,27,FALSE)</f>
        <v>148.27000000000001</v>
      </c>
      <c r="Q15" s="40">
        <f>VLOOKUP($B15,'BaseLine Data'!$B9:$AQ21,28,FALSE)</f>
        <v>215.02</v>
      </c>
      <c r="R15" s="40">
        <f>VLOOKUP($B15,'BaseLine Data'!$B9:$AQ21,29,FALSE)</f>
        <v>66.16</v>
      </c>
      <c r="S15" s="40">
        <f>VLOOKUP($B15,'BaseLine Data'!$B9:$AQ21,30,FALSE)</f>
        <v>125.36</v>
      </c>
      <c r="T15" s="40">
        <f>VLOOKUP($B15,'BaseLine Data'!$B9:$AQ21,32,FALSE)</f>
        <v>28.33</v>
      </c>
      <c r="U15" s="48">
        <f>VLOOKUP($B15,'BaseLine Data'!$B9:$AQ21,33,FALSE)</f>
        <v>55.42</v>
      </c>
      <c r="V15" s="37">
        <f>MAX(S15,U15)</f>
        <v>125.36</v>
      </c>
      <c r="W15">
        <v>0</v>
      </c>
      <c r="X15" s="37">
        <f>Q15-(V15+W15)</f>
        <v>89.660000000000011</v>
      </c>
      <c r="Y15" s="37"/>
      <c r="Z15" s="73">
        <f>X15/Q15</f>
        <v>0.41698446656125016</v>
      </c>
    </row>
    <row r="16" spans="1:26">
      <c r="A16" s="10" t="s">
        <v>24</v>
      </c>
      <c r="B16" s="11" t="s">
        <v>33</v>
      </c>
      <c r="C16" s="11">
        <f>VLOOKUP($B16,'BaseLine Data'!$B9:$AQ21,2,FALSE)</f>
        <v>3</v>
      </c>
      <c r="D16" s="11" t="str">
        <f>VLOOKUP($B16,'BaseLine Data'!$B9:$AQ21,3,FALSE)</f>
        <v>Jamaica Plain</v>
      </c>
      <c r="E16" s="11">
        <f>VLOOKUP($B16,'BaseLine Data'!$B9:$AQ21,4,FALSE)</f>
        <v>3885</v>
      </c>
      <c r="F16" s="11">
        <f>VLOOKUP($B16,'BaseLine Data'!$B9:$AQ21,6,FALSE)</f>
        <v>3</v>
      </c>
      <c r="G16" s="11">
        <f>VLOOKUP($B16,'BaseLine Data'!$B9:$AQ21,7,FALSE)</f>
        <v>1907</v>
      </c>
      <c r="H16" s="11">
        <f>VLOOKUP($B16,'BaseLine Data'!$B9:$AQ21,13,FALSE)</f>
        <v>3885</v>
      </c>
      <c r="I16" s="11">
        <f>VLOOKUP($B16,'BaseLine Data'!$B9:$AQ21,14,FALSE)</f>
        <v>3885</v>
      </c>
      <c r="J16" s="11">
        <f>VLOOKUP($B16,'BaseLine Data'!$B9:$AQ21,19,FALSE)</f>
        <v>7729</v>
      </c>
      <c r="K16" s="11">
        <f>VLOOKUP($B16,'BaseLine Data'!$B9:$AQ21,20,FALSE)</f>
        <v>1802</v>
      </c>
      <c r="L16" s="47">
        <f>VLOOKUP($B16,'BaseLine Data'!$B9:$AQ21,21,FALSE)</f>
        <v>10.889494199971821</v>
      </c>
      <c r="M16" s="47">
        <f>VLOOKUP($B16,'BaseLine Data'!$B9:$AQ21,22,FALSE)</f>
        <v>2.5388625369839852</v>
      </c>
      <c r="N16" s="47">
        <f>VLOOKUP($B16,'BaseLine Data'!$B9:$AQ21,25,FALSE)</f>
        <v>1.9894465894465894</v>
      </c>
      <c r="O16" s="47">
        <f>VLOOKUP($B16,'BaseLine Data'!$B9:$AQ21,26,FALSE)</f>
        <v>0.46383526383526386</v>
      </c>
      <c r="P16" s="40">
        <f>VLOOKUP($B16,'BaseLine Data'!$B9:$AQ21,27,FALSE)</f>
        <v>202.65</v>
      </c>
      <c r="Q16" s="40">
        <f>VLOOKUP($B16,'BaseLine Data'!$B9:$AQ21,28,FALSE)</f>
        <v>268.45999999999998</v>
      </c>
      <c r="R16" s="40">
        <f>VLOOKUP($B16,'BaseLine Data'!$B9:$AQ21,29,FALSE)</f>
        <v>100.8</v>
      </c>
      <c r="S16" s="40">
        <f>VLOOKUP($B16,'BaseLine Data'!$B9:$AQ21,30,FALSE)</f>
        <v>153.69999999999999</v>
      </c>
      <c r="T16" s="40">
        <f>VLOOKUP($B16,'BaseLine Data'!$B9:$AQ21,32,FALSE)</f>
        <v>50.35</v>
      </c>
      <c r="U16" s="48">
        <f>VLOOKUP($B16,'BaseLine Data'!$B9:$AQ21,33,FALSE)</f>
        <v>75.52</v>
      </c>
      <c r="V16" s="37">
        <f>MAX(S16,U16)</f>
        <v>153.69999999999999</v>
      </c>
      <c r="W16">
        <v>0</v>
      </c>
      <c r="X16" s="37">
        <f>Q16-(V16+W16)</f>
        <v>114.75999999999999</v>
      </c>
      <c r="Y16" s="37"/>
      <c r="Z16" s="73">
        <f>X16/Q16</f>
        <v>0.42747522908440738</v>
      </c>
    </row>
    <row r="17" spans="1:26" ht="30">
      <c r="A17" s="10" t="s">
        <v>24</v>
      </c>
      <c r="B17" s="11" t="s">
        <v>34</v>
      </c>
      <c r="C17" s="11">
        <f>VLOOKUP($B17,'BaseLine Data'!$B9:$AQ21,2,FALSE)</f>
        <v>1</v>
      </c>
      <c r="D17" s="11" t="str">
        <f>VLOOKUP($B17,'BaseLine Data'!$B9:$AQ21,3,FALSE)</f>
        <v>Northampton</v>
      </c>
      <c r="E17" s="11">
        <f>VLOOKUP($B17,'BaseLine Data'!$B9:$AQ21,4,FALSE)</f>
        <v>2032</v>
      </c>
      <c r="F17" s="11">
        <f>VLOOKUP($B17,'BaseLine Data'!$B9:$AQ21,6,FALSE)</f>
        <v>1</v>
      </c>
      <c r="G17" s="11">
        <f>VLOOKUP($B17,'BaseLine Data'!$B9:$AQ21,7,FALSE)</f>
        <v>1859</v>
      </c>
      <c r="H17" s="11">
        <f>VLOOKUP($B17,'BaseLine Data'!$B9:$AQ21,13,FALSE)</f>
        <v>2032</v>
      </c>
      <c r="I17" s="11">
        <f>VLOOKUP($B17,'BaseLine Data'!$B9:$AQ21,14,FALSE)</f>
        <v>2747</v>
      </c>
      <c r="J17" s="11">
        <f>VLOOKUP($B17,'BaseLine Data'!$B9:$AQ21,19,FALSE)</f>
        <v>6155</v>
      </c>
      <c r="K17" s="11">
        <f>VLOOKUP($B17,'BaseLine Data'!$B9:$AQ21,20,FALSE)</f>
        <v>473</v>
      </c>
      <c r="L17" s="47">
        <f>VLOOKUP($B17,'BaseLine Data'!$B9:$AQ21,21,FALSE)</f>
        <v>0</v>
      </c>
      <c r="M17" s="47">
        <f>VLOOKUP($B17,'BaseLine Data'!$B9:$AQ21,22,FALSE)</f>
        <v>0.81966266173752311</v>
      </c>
      <c r="N17" s="47">
        <f>VLOOKUP($B17,'BaseLine Data'!$B9:$AQ21,25,FALSE)</f>
        <v>3.0290354330708662</v>
      </c>
      <c r="O17" s="47">
        <f>VLOOKUP($B17,'BaseLine Data'!$B9:$AQ21,26,FALSE)</f>
        <v>0.17218784128139789</v>
      </c>
      <c r="P17" s="40">
        <f>VLOOKUP($B17,'BaseLine Data'!$B9:$AQ21,27,FALSE)</f>
        <v>131.56</v>
      </c>
      <c r="Q17" s="40">
        <f>VLOOKUP($B17,'BaseLine Data'!$B9:$AQ21,28,FALSE)</f>
        <v>172.52</v>
      </c>
      <c r="R17" s="40">
        <f>VLOOKUP($B17,'BaseLine Data'!$B9:$AQ21,29,FALSE)</f>
        <v>26.27</v>
      </c>
      <c r="S17" s="40">
        <f>VLOOKUP($B17,'BaseLine Data'!$B9:$AQ21,30,FALSE)</f>
        <v>87.74</v>
      </c>
      <c r="T17" s="40">
        <f>VLOOKUP($B17,'BaseLine Data'!$B9:$AQ21,32,FALSE)</f>
        <v>12.38</v>
      </c>
      <c r="U17" s="48">
        <f>VLOOKUP($B17,'BaseLine Data'!$B9:$AQ21,33,FALSE)</f>
        <v>41.35</v>
      </c>
      <c r="V17" s="37">
        <f>MAX(S17,U17)</f>
        <v>87.74</v>
      </c>
      <c r="W17">
        <v>0</v>
      </c>
      <c r="X17" s="37">
        <f>Q17-(V17+W17)</f>
        <v>84.780000000000015</v>
      </c>
      <c r="Y17" s="37"/>
      <c r="Z17" s="73">
        <f>X17/Q17</f>
        <v>0.49142128448875499</v>
      </c>
    </row>
    <row r="18" spans="1:26" ht="90">
      <c r="A18" s="10" t="s">
        <v>24</v>
      </c>
      <c r="B18" s="11" t="s">
        <v>35</v>
      </c>
      <c r="C18" s="11">
        <f>VLOOKUP($B18,'BaseLine Data'!$B9:$AQ21,2,FALSE)</f>
        <v>1</v>
      </c>
      <c r="D18" s="11" t="str">
        <f>VLOOKUP($B18,'BaseLine Data'!$B9:$AQ21,3,FALSE)</f>
        <v>Lancaster</v>
      </c>
      <c r="E18" s="11">
        <f>VLOOKUP($B18,'BaseLine Data'!$B9:$AQ21,4,FALSE)</f>
        <v>908</v>
      </c>
      <c r="F18" s="11">
        <f>VLOOKUP($B18,'BaseLine Data'!$B9:$AQ21,6,FALSE)</f>
        <v>2</v>
      </c>
      <c r="G18" s="11">
        <f>VLOOKUP($B18,'BaseLine Data'!$B9:$AQ21,7,FALSE)</f>
        <v>1900</v>
      </c>
      <c r="H18" s="11">
        <f>VLOOKUP($B18,'BaseLine Data'!$B9:$AQ21,13,FALSE)</f>
        <v>980</v>
      </c>
      <c r="I18" s="11">
        <f>VLOOKUP($B18,'BaseLine Data'!$B9:$AQ21,14,FALSE)</f>
        <v>1440</v>
      </c>
      <c r="J18" s="11">
        <f>VLOOKUP($B18,'BaseLine Data'!$B9:$AQ21,19,FALSE)</f>
        <v>4254</v>
      </c>
      <c r="K18" s="11">
        <f>VLOOKUP($B18,'BaseLine Data'!$B9:$AQ21,20,FALSE)</f>
        <v>293</v>
      </c>
      <c r="L18" s="47">
        <f>VLOOKUP($B18,'BaseLine Data'!$B9:$AQ21,21,FALSE)</f>
        <v>36.050847457627121</v>
      </c>
      <c r="M18" s="47">
        <f>VLOOKUP($B18,'BaseLine Data'!$B9:$AQ21,22,FALSE)</f>
        <v>1.4250972762645915</v>
      </c>
      <c r="N18" s="47">
        <f>VLOOKUP($B18,'BaseLine Data'!$B9:$AQ21,25,FALSE)</f>
        <v>4.3408163265306126</v>
      </c>
      <c r="O18" s="47">
        <f>VLOOKUP($B18,'BaseLine Data'!$B9:$AQ21,26,FALSE)</f>
        <v>0.20347222222222222</v>
      </c>
      <c r="P18" s="40">
        <f>VLOOKUP($B18,'BaseLine Data'!$B9:$AQ21,27,FALSE)</f>
        <v>121.66</v>
      </c>
      <c r="Q18" s="40">
        <f>VLOOKUP($B18,'BaseLine Data'!$B9:$AQ21,28,FALSE)</f>
        <v>167.79</v>
      </c>
      <c r="R18" s="40">
        <f>VLOOKUP($B18,'BaseLine Data'!$B9:$AQ21,29,FALSE)</f>
        <v>0</v>
      </c>
      <c r="S18" s="40">
        <f>VLOOKUP($B18,'BaseLine Data'!$B9:$AQ21,30,FALSE)</f>
        <v>0</v>
      </c>
      <c r="T18" s="40">
        <f>VLOOKUP($B18,'BaseLine Data'!$B9:$AQ21,32,FALSE)</f>
        <v>22.26</v>
      </c>
      <c r="U18" s="48">
        <f>VLOOKUP($B18,'BaseLine Data'!$B9:$AQ21,33,FALSE)</f>
        <v>50.03</v>
      </c>
      <c r="V18" s="37">
        <f>MAX(S18,U18)</f>
        <v>50.03</v>
      </c>
      <c r="W18" s="37">
        <f>U18</f>
        <v>50.03</v>
      </c>
      <c r="X18" s="37">
        <v>0</v>
      </c>
      <c r="Y18" s="37">
        <f>Q18-(V18+W18)</f>
        <v>67.72999999999999</v>
      </c>
      <c r="Z18" s="73">
        <f>X18/Q18</f>
        <v>0</v>
      </c>
    </row>
    <row r="19" spans="1:26">
      <c r="A19" s="10" t="s">
        <v>31</v>
      </c>
      <c r="B19" s="11" t="s">
        <v>36</v>
      </c>
      <c r="C19" s="11">
        <f>VLOOKUP($B19,'BaseLine Data'!$B9:$AQ21,2,FALSE)</f>
        <v>1</v>
      </c>
      <c r="D19" s="11" t="str">
        <f>VLOOKUP($B19,'BaseLine Data'!$B9:$AQ21,3,FALSE)</f>
        <v>Brookline</v>
      </c>
      <c r="E19" s="11">
        <f>VLOOKUP($B19,'BaseLine Data'!$B9:$AQ21,4,FALSE)</f>
        <v>2284</v>
      </c>
      <c r="F19" s="11">
        <f>VLOOKUP($B19,'BaseLine Data'!$B9:$AQ21,6,FALSE)</f>
        <v>3</v>
      </c>
      <c r="G19" s="11">
        <f>VLOOKUP($B19,'BaseLine Data'!$B9:$AQ21,7,FALSE)</f>
        <v>1899</v>
      </c>
      <c r="H19" s="11">
        <f>VLOOKUP($B19,'BaseLine Data'!$B9:$AQ21,13,FALSE)</f>
        <v>3078</v>
      </c>
      <c r="I19" s="11">
        <f>VLOOKUP($B19,'BaseLine Data'!$B9:$AQ21,14,FALSE)</f>
        <v>3174</v>
      </c>
      <c r="J19" s="11">
        <f>VLOOKUP($B19,'BaseLine Data'!$B9:$AQ21,19,FALSE)</f>
        <v>1640</v>
      </c>
      <c r="K19" s="11">
        <f>VLOOKUP($B19,'BaseLine Data'!$B9:$AQ21,20,FALSE)</f>
        <v>655</v>
      </c>
      <c r="L19" s="47">
        <f>VLOOKUP($B19,'BaseLine Data'!$B9:$AQ21,21,FALSE)</f>
        <v>3.7575896437163481</v>
      </c>
      <c r="M19" s="47">
        <f>VLOOKUP($B19,'BaseLine Data'!$B9:$AQ21,22,FALSE)</f>
        <v>1.5007446442891512</v>
      </c>
      <c r="N19" s="47">
        <f>VLOOKUP($B19,'BaseLine Data'!$B9:$AQ21,25,FALSE)</f>
        <v>0.53281351526965559</v>
      </c>
      <c r="O19" s="47">
        <f>VLOOKUP($B19,'BaseLine Data'!$B9:$AQ21,26,FALSE)</f>
        <v>0.20636420919974796</v>
      </c>
      <c r="P19" s="40">
        <f>VLOOKUP($B19,'BaseLine Data'!$B9:$AQ21,27,FALSE)</f>
        <v>88.51</v>
      </c>
      <c r="Q19" s="40">
        <f>VLOOKUP($B19,'BaseLine Data'!$B9:$AQ21,28,FALSE)</f>
        <v>118.37</v>
      </c>
      <c r="R19" s="40">
        <f>VLOOKUP($B19,'BaseLine Data'!$B9:$AQ21,29,FALSE)</f>
        <v>0</v>
      </c>
      <c r="S19" s="40">
        <f>VLOOKUP($B19,'BaseLine Data'!$B9:$AQ21,30,FALSE)</f>
        <v>0</v>
      </c>
      <c r="T19" s="40">
        <f>VLOOKUP($B19,'BaseLine Data'!$B9:$AQ21,32,FALSE)</f>
        <v>28.04</v>
      </c>
      <c r="U19" s="48">
        <f>VLOOKUP($B19,'BaseLine Data'!$B9:$AQ21,33,FALSE)</f>
        <v>43.43</v>
      </c>
      <c r="V19" s="37">
        <f>MAX(S19,U19)</f>
        <v>43.43</v>
      </c>
      <c r="W19" s="37">
        <f>U19</f>
        <v>43.43</v>
      </c>
      <c r="X19" s="37">
        <f>Q19-(V19+W19)</f>
        <v>31.510000000000005</v>
      </c>
      <c r="Y19" s="37"/>
      <c r="Z19" s="73">
        <f>X19/Q19</f>
        <v>0.26619920587986823</v>
      </c>
    </row>
    <row r="20" spans="1:26">
      <c r="A20" s="10" t="s">
        <v>24</v>
      </c>
      <c r="B20" s="11" t="s">
        <v>37</v>
      </c>
      <c r="C20" s="11">
        <f>VLOOKUP($B20,'BaseLine Data'!$B9:$AQ21,2,FALSE)</f>
        <v>1</v>
      </c>
      <c r="D20" s="11" t="str">
        <f>VLOOKUP($B20,'BaseLine Data'!$B9:$AQ21,3,FALSE)</f>
        <v>Westford</v>
      </c>
      <c r="E20" s="11">
        <f>VLOOKUP($B20,'BaseLine Data'!$B9:$AQ21,4,FALSE)</f>
        <v>2906</v>
      </c>
      <c r="F20" s="11">
        <f>VLOOKUP($B20,'BaseLine Data'!$B9:$AQ21,6,FALSE)</f>
        <v>2</v>
      </c>
      <c r="G20" s="11">
        <f>VLOOKUP($B20,'BaseLine Data'!$B9:$AQ21,7,FALSE)</f>
        <v>1993</v>
      </c>
      <c r="H20" s="11">
        <f>VLOOKUP($B20,'BaseLine Data'!$B9:$AQ21,13,FALSE)</f>
        <v>2906</v>
      </c>
      <c r="I20" s="11">
        <f>VLOOKUP($B20,'BaseLine Data'!$B9:$AQ21,14,FALSE)</f>
        <v>3955</v>
      </c>
      <c r="J20" s="11">
        <f>VLOOKUP($B20,'BaseLine Data'!$B9:$AQ21,19,FALSE)</f>
        <v>2592</v>
      </c>
      <c r="K20" s="11">
        <f>VLOOKUP($B20,'BaseLine Data'!$B9:$AQ21,20,FALSE)</f>
        <v>930</v>
      </c>
      <c r="L20" s="47">
        <f>VLOOKUP($B20,'BaseLine Data'!$B9:$AQ21,21,FALSE)</f>
        <v>4.8259169614596908</v>
      </c>
      <c r="M20" s="47">
        <f>VLOOKUP($B20,'BaseLine Data'!$B9:$AQ21,22,FALSE)</f>
        <v>1.2546374367622262</v>
      </c>
      <c r="N20" s="47">
        <f>VLOOKUP($B20,'BaseLine Data'!$B9:$AQ21,25,FALSE)</f>
        <v>0.89194769442532695</v>
      </c>
      <c r="O20" s="47">
        <f>VLOOKUP($B20,'BaseLine Data'!$B9:$AQ21,26,FALSE)</f>
        <v>0.23514538558786346</v>
      </c>
      <c r="P20" s="40">
        <f>VLOOKUP($B20,'BaseLine Data'!$B9:$AQ21,27,FALSE)</f>
        <v>209.42</v>
      </c>
      <c r="Q20" s="40">
        <f>VLOOKUP($B20,'BaseLine Data'!$B9:$AQ21,28,FALSE)</f>
        <v>295.67</v>
      </c>
      <c r="R20" s="40">
        <f>VLOOKUP($B20,'BaseLine Data'!$B9:$AQ21,29,FALSE)</f>
        <v>0</v>
      </c>
      <c r="S20" s="40">
        <f>VLOOKUP($B20,'BaseLine Data'!$B9:$AQ21,30,FALSE)</f>
        <v>0</v>
      </c>
      <c r="T20" s="40">
        <f>VLOOKUP($B20,'BaseLine Data'!$B9:$AQ21,32,FALSE)</f>
        <v>56.66</v>
      </c>
      <c r="U20" s="48">
        <f>VLOOKUP($B20,'BaseLine Data'!$B9:$AQ21,33,FALSE)</f>
        <v>103.25</v>
      </c>
      <c r="V20" s="37">
        <f>MAX(S20,U20)</f>
        <v>103.25</v>
      </c>
      <c r="W20" s="37">
        <f>U20</f>
        <v>103.25</v>
      </c>
      <c r="X20" s="37">
        <f>Q20-(V20+W20)</f>
        <v>89.170000000000016</v>
      </c>
      <c r="Y20" s="37"/>
      <c r="Z20" s="73">
        <f>X20/Q20</f>
        <v>0.30158622788920081</v>
      </c>
    </row>
    <row r="21" spans="1:26" ht="30">
      <c r="A21" s="10" t="s">
        <v>24</v>
      </c>
      <c r="B21" s="11" t="s">
        <v>38</v>
      </c>
      <c r="C21" s="11">
        <f>VLOOKUP($B21,'BaseLine Data'!$B9:$AQ21,2,FALSE)</f>
        <v>1</v>
      </c>
      <c r="D21" s="11" t="str">
        <f>VLOOKUP($B21,'BaseLine Data'!$B9:$AQ21,3,FALSE)</f>
        <v>Gloucester</v>
      </c>
      <c r="E21" s="11">
        <f>VLOOKUP($B21,'BaseLine Data'!$B9:$AQ21,4,FALSE)</f>
        <v>2171</v>
      </c>
      <c r="F21" s="11">
        <f>VLOOKUP($B21,'BaseLine Data'!$B9:$AQ21,6,FALSE)</f>
        <v>2</v>
      </c>
      <c r="G21" s="11">
        <f>VLOOKUP($B21,'BaseLine Data'!$B9:$AQ21,7,FALSE)</f>
        <v>1920</v>
      </c>
      <c r="H21" s="11">
        <f>VLOOKUP($B21,'BaseLine Data'!$B9:$AQ21,13,FALSE)</f>
        <v>2171</v>
      </c>
      <c r="I21" s="11">
        <f>VLOOKUP($B21,'BaseLine Data'!$B9:$AQ21,14,FALSE)</f>
        <v>2424</v>
      </c>
      <c r="J21" s="11">
        <f>VLOOKUP($B21,'BaseLine Data'!$B9:$AQ21,19,FALSE)</f>
        <v>2258</v>
      </c>
      <c r="K21" s="11">
        <f>VLOOKUP($B21,'BaseLine Data'!$B9:$AQ21,20,FALSE)</f>
        <v>235</v>
      </c>
      <c r="L21" s="47" t="e">
        <f>VLOOKUP($B21,'BaseLine Data'!$B9:$AQ21,21,FALSE)</f>
        <v>#DIV/0!</v>
      </c>
      <c r="M21" s="47">
        <f>VLOOKUP($B21,'BaseLine Data'!$B9:$AQ21,22,FALSE)</f>
        <v>0.60554004724071286</v>
      </c>
      <c r="N21" s="47">
        <f>VLOOKUP($B21,'BaseLine Data'!$B9:$AQ21,25,FALSE)</f>
        <v>1.0400736987563335</v>
      </c>
      <c r="O21" s="47">
        <f>VLOOKUP($B21,'BaseLine Data'!$B9:$AQ21,26,FALSE)</f>
        <v>9.6947194719471941E-2</v>
      </c>
      <c r="P21" s="40">
        <f>VLOOKUP($B21,'BaseLine Data'!$B9:$AQ21,27,FALSE)</f>
        <v>148.29</v>
      </c>
      <c r="Q21" s="40">
        <f>VLOOKUP($B21,'BaseLine Data'!$B9:$AQ21,28,FALSE)</f>
        <v>200.89</v>
      </c>
      <c r="R21" s="40">
        <f>VLOOKUP($B21,'BaseLine Data'!$B9:$AQ21,29,FALSE)</f>
        <v>0</v>
      </c>
      <c r="S21" s="40">
        <f>VLOOKUP($B21,'BaseLine Data'!$B9:$AQ21,30,FALSE)</f>
        <v>0</v>
      </c>
      <c r="T21" s="40">
        <f>VLOOKUP($B21,'BaseLine Data'!$B9:$AQ21,32,FALSE)</f>
        <v>19.55</v>
      </c>
      <c r="U21" s="48">
        <f>VLOOKUP($B21,'BaseLine Data'!$B9:$AQ21,33,FALSE)</f>
        <v>65.28</v>
      </c>
      <c r="V21" s="37">
        <f>MAX(S21,U21)</f>
        <v>65.28</v>
      </c>
      <c r="W21" s="37">
        <f>U21</f>
        <v>65.28</v>
      </c>
      <c r="X21" s="37">
        <f>Q21-(V21+W21)</f>
        <v>70.329999999999984</v>
      </c>
      <c r="Y21" s="37"/>
      <c r="Z21" s="73">
        <f>X21/Q21</f>
        <v>0.35009209019861609</v>
      </c>
    </row>
    <row r="23" spans="1:26">
      <c r="B23" s="39"/>
      <c r="I23" s="38"/>
      <c r="K23" s="37"/>
      <c r="L23" s="35"/>
      <c r="M23" s="37"/>
      <c r="O23" s="35"/>
    </row>
    <row r="24" spans="1:26">
      <c r="B24" s="39"/>
      <c r="K24" s="37"/>
      <c r="L24" s="37"/>
      <c r="M24" s="37"/>
    </row>
    <row r="25" spans="1:26">
      <c r="B25" s="39"/>
      <c r="K25" s="37"/>
      <c r="L25" s="35"/>
      <c r="M25" s="37"/>
    </row>
    <row r="26" spans="1:26">
      <c r="B26" s="39"/>
      <c r="K26" s="37"/>
      <c r="L26" s="37"/>
      <c r="M26" s="37"/>
    </row>
  </sheetData>
  <dataValidations disablePrompts="1" count="2">
    <dataValidation type="list" allowBlank="1" showInputMessage="1" showErrorMessage="1" sqref="WUX9:WUY21 WLB9:WLC21 WBF9:WBG21 VRJ9:VRK21 VHN9:VHO21 UXR9:UXS21 UNV9:UNW21 UDZ9:UEA21 TUD9:TUE21 TKH9:TKI21 TAL9:TAM21 SQP9:SQQ21 SGT9:SGU21 RWX9:RWY21 RNB9:RNC21 RDF9:RDG21 QTJ9:QTK21 QJN9:QJO21 PZR9:PZS21 PPV9:PPW21 PFZ9:PGA21 OWD9:OWE21 OMH9:OMI21 OCL9:OCM21 NSP9:NSQ21 NIT9:NIU21 MYX9:MYY21 MPB9:MPC21 MFF9:MFG21 LVJ9:LVK21 LLN9:LLO21 LBR9:LBS21 KRV9:KRW21 KHZ9:KIA21 JYD9:JYE21 JOH9:JOI21 JEL9:JEM21 IUP9:IUQ21 IKT9:IKU21 IAX9:IAY21 HRB9:HRC21 HHF9:HHG21 GXJ9:GXK21 GNN9:GNO21 GDR9:GDS21 FTV9:FTW21 FJZ9:FKA21 FAD9:FAE21 EQH9:EQI21 EGL9:EGM21 DWP9:DWQ21 DMT9:DMU21 DCX9:DCY21 CTB9:CTC21 CJF9:CJG21 BZJ9:BZK21 BPN9:BPO21 BFR9:BFS21 AVV9:AVW21 ALZ9:AMA21 ACD9:ACE21 SH9:SI21 IL9:IM21">
      <formula1>'[1]Project Statistics'!$M$74:$M$75</formula1>
    </dataValidation>
    <dataValidation type="list" allowBlank="1" showInputMessage="1" showErrorMessage="1" sqref="WUW9:WUW21 WLA9:WLA21 WBE9:WBE21 VRI9:VRI21 VHM9:VHM21 UXQ9:UXQ21 UNU9:UNU21 UDY9:UDY21 TUC9:TUC21 TKG9:TKG21 TAK9:TAK21 SQO9:SQO21 SGS9:SGS21 RWW9:RWW21 RNA9:RNA21 RDE9:RDE21 QTI9:QTI21 QJM9:QJM21 PZQ9:PZQ21 PPU9:PPU21 PFY9:PFY21 OWC9:OWC21 OMG9:OMG21 OCK9:OCK21 NSO9:NSO21 NIS9:NIS21 MYW9:MYW21 MPA9:MPA21 MFE9:MFE21 LVI9:LVI21 LLM9:LLM21 LBQ9:LBQ21 KRU9:KRU21 KHY9:KHY21 JYC9:JYC21 JOG9:JOG21 JEK9:JEK21 IUO9:IUO21 IKS9:IKS21 IAW9:IAW21 HRA9:HRA21 HHE9:HHE21 GXI9:GXI21 GNM9:GNM21 GDQ9:GDQ21 FTU9:FTU21 FJY9:FJY21 FAC9:FAC21 EQG9:EQG21 EGK9:EGK21 DWO9:DWO21 DMS9:DMS21 DCW9:DCW21 CTA9:CTA21 CJE9:CJE21 BZI9:BZI21 BPM9:BPM21 BFQ9:BFQ21 AVU9:AVU21 ALY9:ALY21 ACC9:ACC21 SG9:SG21 IK9:IK21">
      <formula1>'[1]Project Statistics'!$K$74:$K$79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A7:AE65"/>
  <sheetViews>
    <sheetView topLeftCell="B29" zoomScaleNormal="100" workbookViewId="0">
      <pane xSplit="1" topLeftCell="H1" activePane="topRight" state="frozen"/>
      <selection activeCell="B9" sqref="B9:X21"/>
      <selection pane="topRight" activeCell="V1" sqref="V1:V1048576"/>
    </sheetView>
  </sheetViews>
  <sheetFormatPr defaultRowHeight="15"/>
  <cols>
    <col min="2" max="2" width="11.7109375" customWidth="1"/>
    <col min="3" max="3" width="8.7109375" customWidth="1"/>
    <col min="4" max="4" width="12.7109375" customWidth="1"/>
    <col min="12" max="15" width="11.5703125" bestFit="1" customWidth="1"/>
    <col min="21" max="21" width="11.5703125" bestFit="1" customWidth="1"/>
    <col min="22" max="30" width="11.5703125" customWidth="1"/>
  </cols>
  <sheetData>
    <row r="7" spans="1:31" ht="120.75" thickBot="1">
      <c r="B7" s="1" t="s">
        <v>0</v>
      </c>
      <c r="C7" s="11" t="str">
        <f>VLOOKUP($B7,'BaseLine Data'!$B7:$AQ21,2,FALSE)</f>
        <v>Number of Housing Units</v>
      </c>
      <c r="D7" s="11" t="str">
        <f>VLOOKUP($B7,'BaseLine Data'!$B7:$AQ21,3,FALSE)</f>
        <v>Location</v>
      </c>
      <c r="E7" s="11" t="str">
        <f>VLOOKUP($B7,'BaseLine Data'!$B7:$AQ21,4,FALSE)</f>
        <v>Pre-DER Cond. Floor Area
(sq.ft.)</v>
      </c>
      <c r="F7" s="11" t="str">
        <f>VLOOKUP($B7,'BaseLine Data'!$B7:$AQ21,6,FALSE)</f>
        <v>Stories</v>
      </c>
      <c r="G7" s="11" t="str">
        <f>VLOOKUP($B7,'BaseLine Data'!$B7:$AQ21,7,FALSE)</f>
        <v>Approx. Year Built</v>
      </c>
      <c r="H7" s="11" t="str">
        <f>VLOOKUP($B7,'BaseLine Data'!$B7:$AQ21,13,FALSE)</f>
        <v>Pre-DER Cond. Floor Area
(sq.ft.)</v>
      </c>
      <c r="I7" s="11" t="str">
        <f>VLOOKUP($B7,'BaseLine Data'!$B7:$AQ21,14,FALSE)</f>
        <v>Post-DER Con. Floor Area        (sq.ft.)</v>
      </c>
      <c r="J7" s="11" t="str">
        <f>VLOOKUP($B7,'BaseLine Data'!$B7:$AQ21,19,FALSE)</f>
        <v>Pre-DER   CFM 50</v>
      </c>
      <c r="K7" s="11" t="str">
        <f>VLOOKUP($B7,'BaseLine Data'!$B7:$AQ21,20,FALSE)</f>
        <v>Post-DER CFM 50</v>
      </c>
      <c r="L7" s="11" t="str">
        <f>VLOOKUP($B7,'BaseLine Data'!$B7:$AQ21,21,FALSE)</f>
        <v xml:space="preserve">Pre-DER   ACH 50 </v>
      </c>
      <c r="M7" s="11" t="str">
        <f>VLOOKUP($B7,'BaseLine Data'!$B7:$AQ21,22,FALSE)</f>
        <v xml:space="preserve">Post-DER ACH 50 </v>
      </c>
      <c r="N7" s="11" t="str">
        <f>VLOOKUP($B7,'BaseLine Data'!$B7:$AQ21,25,FALSE)</f>
        <v>Pre-DER CFM/sf Conditioned floor area</v>
      </c>
      <c r="O7" s="11" t="str">
        <f>VLOOKUP($B7,'BaseLine Data'!$B7:$AQ21,26,FALSE)</f>
        <v>Post-DER CFM/sf Conditioned floor area</v>
      </c>
      <c r="P7" s="11" t="str">
        <f>VLOOKUP($B7,'BaseLine Data'!$B7:$AQ21,27,FALSE)</f>
        <v>12 months pre-retrofit site MMBtu</v>
      </c>
      <c r="Q7" s="11" t="str">
        <f>VLOOKUP($B7,'BaseLine Data'!$B7:$AQ21,28,FALSE)</f>
        <v>12 months pre-retrofit source MMBtu</v>
      </c>
      <c r="R7" s="11" t="str">
        <f>VLOOKUP($B7,'BaseLine Data'!$B7:$AQ21,29,FALSE)</f>
        <v>12 months site MMBtu</v>
      </c>
      <c r="S7" s="11" t="str">
        <f>VLOOKUP($B7,'BaseLine Data'!$B7:$AQ21,30,FALSE)</f>
        <v>12 months source MMBtu</v>
      </c>
      <c r="T7" s="11" t="str">
        <f>VLOOKUP($B7,'BaseLine Data'!$B7:$AQ21,32,FALSE)</f>
        <v>6 months site MMBtu</v>
      </c>
      <c r="U7" s="11" t="str">
        <f>VLOOKUP($B7,'BaseLine Data'!$B7:$AQ21,33,FALSE)</f>
        <v>6 months source MMBtu</v>
      </c>
      <c r="V7" s="11" t="str">
        <f>VLOOKUP($B7,'BaseLine Data'!$B7:$BE21,44,FALSE)</f>
        <v>12 months pre-retrofit electricity source MMBtu</v>
      </c>
      <c r="W7" s="11" t="str">
        <f>VLOOKUP($B7,'BaseLine Data'!$B7:$BE21,45,FALSE)</f>
        <v>12 months pre-retrofit natural gas or propane source MMBtu</v>
      </c>
      <c r="X7" s="11" t="str">
        <f>VLOOKUP($B7,'BaseLine Data'!$B7:$BE21,46,FALSE)</f>
        <v>12 months pre-retrofit oil source MMBtu</v>
      </c>
      <c r="Y7" s="11" t="str">
        <f>VLOOKUP($B7,'BaseLine Data'!$B7:$BE21,47,FALSE)</f>
        <v>12 months pre-retrofit other source MMBtu</v>
      </c>
      <c r="Z7" s="11" t="str">
        <f>VLOOKUP($B7,'BaseLine Data'!$B7:$BE21,51,FALSE)</f>
        <v>12 (or 6) months post-retrofit electricity source MMBtu</v>
      </c>
      <c r="AA7" s="11" t="str">
        <f>VLOOKUP($B7,'BaseLine Data'!$B7:$BE21,52,FALSE)</f>
        <v>12 (or 6) months post-retrofit natural gas or propane source MMBtu</v>
      </c>
      <c r="AB7" s="11" t="s">
        <v>159</v>
      </c>
      <c r="AC7" s="11" t="str">
        <f>VLOOKUP($B7,'BaseLine Data'!$B7:$BE21,53,FALSE)</f>
        <v>12 (or 6)months pre-retrofit other source MMBtu</v>
      </c>
      <c r="AD7" s="11"/>
      <c r="AE7" s="11" t="str">
        <f>VLOOKUP($B7,'BaseLine Data'!$B7:$AQ21,42,FALSE)</f>
        <v>Sort Order</v>
      </c>
    </row>
    <row r="8" spans="1:31" ht="71.25">
      <c r="A8" s="9"/>
      <c r="B8" s="49" t="s">
        <v>23</v>
      </c>
      <c r="C8" s="50"/>
      <c r="D8" s="50"/>
      <c r="E8" s="50"/>
      <c r="F8" s="50"/>
      <c r="G8" s="50"/>
      <c r="H8" s="51"/>
      <c r="I8" s="52"/>
      <c r="J8" s="53"/>
      <c r="K8" s="53"/>
      <c r="L8" s="54"/>
      <c r="M8" s="41"/>
      <c r="N8" s="53"/>
      <c r="O8" s="41"/>
      <c r="V8" s="57"/>
      <c r="W8" s="57"/>
      <c r="X8" s="57"/>
      <c r="Y8" s="57"/>
      <c r="Z8" s="57"/>
      <c r="AA8" s="57"/>
      <c r="AB8" s="57"/>
      <c r="AC8" s="57"/>
    </row>
    <row r="9" spans="1:31">
      <c r="A9" s="10" t="s">
        <v>24</v>
      </c>
      <c r="B9" s="11" t="s">
        <v>25</v>
      </c>
      <c r="C9" s="11">
        <f>VLOOKUP($B9,'BaseLine Data'!$B9:$AQ21,2,FALSE)</f>
        <v>1</v>
      </c>
      <c r="D9" s="11" t="str">
        <f>VLOOKUP($B9,'BaseLine Data'!$B9:$AQ21,3,FALSE)</f>
        <v>Belchertown</v>
      </c>
      <c r="E9" s="11">
        <f>VLOOKUP($B9,'BaseLine Data'!$B9:$AQ21,4,FALSE)</f>
        <v>1352</v>
      </c>
      <c r="F9" s="11">
        <f>VLOOKUP($B9,'BaseLine Data'!$B9:$AQ21,6,FALSE)</f>
        <v>1.5</v>
      </c>
      <c r="G9" s="11">
        <f>VLOOKUP($B9,'BaseLine Data'!$B9:$AQ21,7,FALSE)</f>
        <v>1760</v>
      </c>
      <c r="H9" s="11">
        <f>VLOOKUP($B9,'BaseLine Data'!$B9:$AQ21,13,FALSE)</f>
        <v>1435</v>
      </c>
      <c r="I9" s="11">
        <f>VLOOKUP($B9,'BaseLine Data'!$B9:$AQ21,14,FALSE)</f>
        <v>1907</v>
      </c>
      <c r="J9" s="11">
        <f>VLOOKUP($B9,'BaseLine Data'!$B9:$AQ21,19,FALSE)</f>
        <v>9079</v>
      </c>
      <c r="K9" s="11">
        <f>VLOOKUP($B9,'BaseLine Data'!$B9:$AQ21,20,FALSE)</f>
        <v>468</v>
      </c>
      <c r="L9" s="47">
        <f>VLOOKUP($B9,'BaseLine Data'!$B9:$AQ21,21,FALSE)</f>
        <v>57.656646909398809</v>
      </c>
      <c r="M9" s="47">
        <f>VLOOKUP($B9,'BaseLine Data'!$B9:$AQ21,22,FALSE)</f>
        <v>1.8755009350788139</v>
      </c>
      <c r="N9" s="47">
        <f>VLOOKUP($B9,'BaseLine Data'!$B9:$AQ21,25,FALSE)</f>
        <v>6.3268292682926832</v>
      </c>
      <c r="O9" s="47">
        <f>VLOOKUP($B9,'BaseLine Data'!$B9:$AQ21,26,FALSE)</f>
        <v>0.2454116413214473</v>
      </c>
      <c r="P9" s="40">
        <f>VLOOKUP($B9,'BaseLine Data'!$B9:$AQ21,27,FALSE)</f>
        <v>193.64</v>
      </c>
      <c r="Q9" s="40">
        <f>VLOOKUP($B9,'BaseLine Data'!$B9:$AQ21,28,FALSE)</f>
        <v>210.87</v>
      </c>
      <c r="R9" s="40">
        <f>VLOOKUP($B9,'BaseLine Data'!$B9:$AQ21,29,FALSE)</f>
        <v>37.130000000000003</v>
      </c>
      <c r="S9" s="40">
        <f>VLOOKUP($B9,'BaseLine Data'!$B9:$AQ21,30,FALSE)</f>
        <v>52.4</v>
      </c>
      <c r="T9" s="40">
        <f>VLOOKUP($B9,'BaseLine Data'!$B9:$AQ21,32,FALSE)</f>
        <v>15.1</v>
      </c>
      <c r="U9" s="48">
        <f>VLOOKUP($B9,'BaseLine Data'!$B9:$AQ21,33,FALSE)</f>
        <v>22.29</v>
      </c>
      <c r="V9" s="40">
        <f>VLOOKUP($B9,'BaseLine Data'!$B9:$BE21,44,FALSE)</f>
        <v>24.38</v>
      </c>
      <c r="W9" s="40">
        <f>VLOOKUP($B9,'BaseLine Data'!$B9:$BE21,45,FALSE)</f>
        <v>14.99</v>
      </c>
      <c r="X9" s="40">
        <f>VLOOKUP($B9,'BaseLine Data'!$B9:$BE21,46,FALSE)</f>
        <v>0</v>
      </c>
      <c r="Y9" s="40">
        <f>VLOOKUP($B9,'BaseLine Data'!$B9:$BE21,47,FALSE)</f>
        <v>171.5</v>
      </c>
      <c r="Z9" s="40">
        <f>VLOOKUP($B9,'BaseLine Data'!$B9:$BE21,51,FALSE)</f>
        <v>21.35</v>
      </c>
      <c r="AA9" s="40">
        <f>VLOOKUP($B9,'BaseLine Data'!$B9:$BE21,52,FALSE)</f>
        <v>31.05</v>
      </c>
      <c r="AB9" s="87"/>
      <c r="AC9" s="40">
        <f>VLOOKUP($B9,'BaseLine Data'!$B9:$BE21,53,FALSE)</f>
        <v>0</v>
      </c>
      <c r="AD9" s="48"/>
      <c r="AE9" s="40">
        <f>VLOOKUP($B9,'BaseLine Data'!$B$9:$AQ26,42,FALSE)</f>
        <v>1</v>
      </c>
    </row>
    <row r="10" spans="1:31" ht="30">
      <c r="A10" s="10" t="s">
        <v>24</v>
      </c>
      <c r="B10" s="17" t="s">
        <v>26</v>
      </c>
      <c r="C10" s="11">
        <f>VLOOKUP($B10,'BaseLine Data'!$B9:$AQ21,2,FALSE)</f>
        <v>2</v>
      </c>
      <c r="D10" s="11" t="str">
        <f>VLOOKUP($B10,'BaseLine Data'!$B9:$AQ21,3,FALSE)</f>
        <v>Belmont</v>
      </c>
      <c r="E10" s="11">
        <f>VLOOKUP($B10,'BaseLine Data'!$B9:$AQ21,4,FALSE)</f>
        <v>2728</v>
      </c>
      <c r="F10" s="11">
        <f>VLOOKUP($B10,'BaseLine Data'!$B9:$AQ21,6,FALSE)</f>
        <v>3</v>
      </c>
      <c r="G10" s="11">
        <f>VLOOKUP($B10,'BaseLine Data'!$B9:$AQ21,7,FALSE)</f>
        <v>1925</v>
      </c>
      <c r="H10" s="11">
        <f>VLOOKUP($B10,'BaseLine Data'!$B9:$AQ21,13,FALSE)</f>
        <v>3417</v>
      </c>
      <c r="I10" s="11">
        <f>VLOOKUP($B10,'BaseLine Data'!$B9:$AQ21,14,FALSE)</f>
        <v>4768</v>
      </c>
      <c r="J10" s="11">
        <f>VLOOKUP($B10,'BaseLine Data'!$B9:$AQ21,19,FALSE)</f>
        <v>5700</v>
      </c>
      <c r="K10" s="11">
        <f>VLOOKUP($B10,'BaseLine Data'!$B9:$AQ21,20,FALSE)</f>
        <v>590</v>
      </c>
      <c r="L10" s="47">
        <f>VLOOKUP($B10,'BaseLine Data'!$B9:$AQ21,21,FALSE)</f>
        <v>9.2687950566426363</v>
      </c>
      <c r="M10" s="47">
        <f>VLOOKUP($B10,'BaseLine Data'!$B9:$AQ21,22,FALSE)</f>
        <v>0.74204502578292031</v>
      </c>
      <c r="N10" s="47">
        <f>VLOOKUP($B10,'BaseLine Data'!$B9:$AQ21,25,FALSE)</f>
        <v>1.6681299385425812</v>
      </c>
      <c r="O10" s="47">
        <f>VLOOKUP($B10,'BaseLine Data'!$B9:$AQ21,26,FALSE)</f>
        <v>0.12374161073825503</v>
      </c>
      <c r="P10" s="40">
        <f>VLOOKUP($B10,'BaseLine Data'!$B9:$AQ21,27,FALSE)</f>
        <v>485.78</v>
      </c>
      <c r="Q10" s="40">
        <f>VLOOKUP($B10,'BaseLine Data'!$B9:$AQ21,28,FALSE)</f>
        <v>561.85</v>
      </c>
      <c r="R10" s="40">
        <f>VLOOKUP($B10,'BaseLine Data'!$B9:$AQ21,29,FALSE)</f>
        <v>59.36</v>
      </c>
      <c r="S10" s="40">
        <f>VLOOKUP($B10,'BaseLine Data'!$B9:$AQ21,30,FALSE)</f>
        <v>151.47999999999999</v>
      </c>
      <c r="T10" s="40">
        <f>VLOOKUP($B10,'BaseLine Data'!$B9:$AQ21,32,FALSE)</f>
        <v>28.94</v>
      </c>
      <c r="U10" s="48">
        <f>VLOOKUP($B10,'BaseLine Data'!$B9:$AQ21,33,FALSE)</f>
        <v>77.39</v>
      </c>
      <c r="V10" s="40">
        <f>VLOOKUP($B10,'BaseLine Data'!$B10:$BE22,44,FALSE)</f>
        <v>100.44</v>
      </c>
      <c r="W10" s="40">
        <f>VLOOKUP($B10,'BaseLine Data'!$B10:$BE22,45,FALSE)</f>
        <v>32.35</v>
      </c>
      <c r="X10" s="40">
        <f>VLOOKUP($B10,'BaseLine Data'!$B10:$BE22,46,FALSE)</f>
        <v>429.06</v>
      </c>
      <c r="Y10" s="40">
        <f>VLOOKUP($B10,'BaseLine Data'!$B10:$BE22,47,FALSE)</f>
        <v>0</v>
      </c>
      <c r="Z10" s="40">
        <f>VLOOKUP($B10,'BaseLine Data'!$B10:$BE22,51,FALSE)</f>
        <v>130.12</v>
      </c>
      <c r="AA10" s="40">
        <f>VLOOKUP($B10,'BaseLine Data'!$B10:$BE22,52,FALSE)</f>
        <v>21.36</v>
      </c>
      <c r="AB10" s="87"/>
      <c r="AC10" s="40">
        <f>VLOOKUP($B10,'BaseLine Data'!$B10:$BE22,53,FALSE)</f>
        <v>0</v>
      </c>
      <c r="AD10" s="48"/>
      <c r="AE10" s="40">
        <f>VLOOKUP($B10,'BaseLine Data'!$B$9:$AQ27,42,FALSE)</f>
        <v>2</v>
      </c>
    </row>
    <row r="11" spans="1:31">
      <c r="A11" s="10" t="s">
        <v>24</v>
      </c>
      <c r="B11" s="11" t="s">
        <v>27</v>
      </c>
      <c r="C11" s="11">
        <f>VLOOKUP($B11,'BaseLine Data'!$B9:$AQ21,2,FALSE)</f>
        <v>1</v>
      </c>
      <c r="D11" s="11" t="str">
        <f>VLOOKUP($B11,'BaseLine Data'!$B9:$AQ21,3,FALSE)</f>
        <v>Millbury</v>
      </c>
      <c r="E11" s="11">
        <f>VLOOKUP($B11,'BaseLine Data'!$B9:$AQ21,4,FALSE)</f>
        <v>1100</v>
      </c>
      <c r="F11" s="11">
        <f>VLOOKUP($B11,'BaseLine Data'!$B9:$AQ21,6,FALSE)</f>
        <v>1.5</v>
      </c>
      <c r="G11" s="11">
        <f>VLOOKUP($B11,'BaseLine Data'!$B9:$AQ21,7,FALSE)</f>
        <v>1953</v>
      </c>
      <c r="H11" s="11">
        <f>VLOOKUP($B11,'BaseLine Data'!$B9:$AQ21,13,FALSE)</f>
        <v>1868</v>
      </c>
      <c r="I11" s="11">
        <f>VLOOKUP($B11,'BaseLine Data'!$B9:$AQ21,14,FALSE)</f>
        <v>1868</v>
      </c>
      <c r="J11" s="11">
        <f>VLOOKUP($B11,'BaseLine Data'!$B9:$AQ21,19,FALSE)</f>
        <v>2860</v>
      </c>
      <c r="K11" s="11">
        <f>VLOOKUP($B11,'BaseLine Data'!$B9:$AQ21,20,FALSE)</f>
        <v>402</v>
      </c>
      <c r="L11" s="47">
        <f>VLOOKUP($B11,'BaseLine Data'!$B9:$AQ21,21,FALSE)</f>
        <v>10.4</v>
      </c>
      <c r="M11" s="47">
        <f>VLOOKUP($B11,'BaseLine Data'!$B9:$AQ21,22,FALSE)</f>
        <v>1.4188235294117648</v>
      </c>
      <c r="N11" s="47">
        <f>VLOOKUP($B11,'BaseLine Data'!$B9:$AQ21,25,FALSE)</f>
        <v>1.5310492505353319</v>
      </c>
      <c r="O11" s="47">
        <f>VLOOKUP($B11,'BaseLine Data'!$B9:$AQ21,26,FALSE)</f>
        <v>0.21520342612419699</v>
      </c>
      <c r="P11" s="40">
        <f>VLOOKUP($B11,'BaseLine Data'!$B9:$AQ21,27,FALSE)</f>
        <v>125.16</v>
      </c>
      <c r="Q11" s="40">
        <f>VLOOKUP($B11,'BaseLine Data'!$B9:$AQ21,28,FALSE)</f>
        <v>188.05</v>
      </c>
      <c r="R11" s="40">
        <f>VLOOKUP($B11,'BaseLine Data'!$B9:$AQ21,29,FALSE)</f>
        <v>45.04</v>
      </c>
      <c r="S11" s="40">
        <f>VLOOKUP($B11,'BaseLine Data'!$B9:$AQ21,30,FALSE)</f>
        <v>129.72999999999999</v>
      </c>
      <c r="T11" s="40">
        <f>VLOOKUP($B11,'BaseLine Data'!$B9:$AQ21,32,FALSE)</f>
        <v>21.26</v>
      </c>
      <c r="U11" s="48">
        <f>VLOOKUP($B11,'BaseLine Data'!$B9:$AQ21,33,FALSE)</f>
        <v>62.9</v>
      </c>
      <c r="V11" s="40">
        <f>VLOOKUP($B11,'BaseLine Data'!$B11:$BE23,44,FALSE)</f>
        <v>89.02</v>
      </c>
      <c r="W11" s="40">
        <f>VLOOKUP($B11,'BaseLine Data'!$B11:$BE23,45,FALSE)</f>
        <v>0</v>
      </c>
      <c r="X11" s="40">
        <f>VLOOKUP($B11,'BaseLine Data'!$B11:$BE23,46,FALSE)</f>
        <v>52.53</v>
      </c>
      <c r="Y11" s="40">
        <f>VLOOKUP($B11,'BaseLine Data'!$B11:$BE23,47,FALSE)</f>
        <v>46.5</v>
      </c>
      <c r="Z11" s="40">
        <f>VLOOKUP($B11,'BaseLine Data'!$B11:$BE23,51,FALSE)</f>
        <v>120.8</v>
      </c>
      <c r="AA11" s="40">
        <f>VLOOKUP($B11,'BaseLine Data'!$B11:$BE23,52,FALSE)</f>
        <v>6.14</v>
      </c>
      <c r="AB11" s="87"/>
      <c r="AC11" s="40">
        <f>VLOOKUP($B11,'BaseLine Data'!$B11:$BE23,53,FALSE)</f>
        <v>2.79</v>
      </c>
      <c r="AD11" s="48"/>
      <c r="AE11" s="40">
        <f>VLOOKUP($B11,'BaseLine Data'!$B$9:$AQ28,42,FALSE)</f>
        <v>3</v>
      </c>
    </row>
    <row r="12" spans="1:31">
      <c r="A12" s="10" t="s">
        <v>24</v>
      </c>
      <c r="B12" s="11" t="s">
        <v>28</v>
      </c>
      <c r="C12" s="11">
        <f>VLOOKUP($B12,'BaseLine Data'!$B9:$AQ21,2,FALSE)</f>
        <v>1</v>
      </c>
      <c r="D12" s="11" t="str">
        <f>VLOOKUP($B12,'BaseLine Data'!$B9:$AQ21,3,FALSE)</f>
        <v>Milton</v>
      </c>
      <c r="E12" s="11">
        <f>VLOOKUP($B12,'BaseLine Data'!$B9:$AQ21,4,FALSE)</f>
        <v>1600</v>
      </c>
      <c r="F12" s="11">
        <f>VLOOKUP($B12,'BaseLine Data'!$B9:$AQ21,6,FALSE)</f>
        <v>2</v>
      </c>
      <c r="G12" s="11">
        <f>VLOOKUP($B12,'BaseLine Data'!$B9:$AQ21,7,FALSE)</f>
        <v>1960</v>
      </c>
      <c r="H12" s="11">
        <f>VLOOKUP($B12,'BaseLine Data'!$B9:$AQ21,13,FALSE)</f>
        <v>2368</v>
      </c>
      <c r="I12" s="11">
        <f>VLOOKUP($B12,'BaseLine Data'!$B9:$AQ21,14,FALSE)</f>
        <v>2368</v>
      </c>
      <c r="J12" s="11">
        <f>VLOOKUP($B12,'BaseLine Data'!$B9:$AQ21,19,FALSE)</f>
        <v>1695</v>
      </c>
      <c r="K12" s="11">
        <f>VLOOKUP($B12,'BaseLine Data'!$B9:$AQ21,20,FALSE)</f>
        <v>584</v>
      </c>
      <c r="L12" s="47">
        <f>VLOOKUP($B12,'BaseLine Data'!$B9:$AQ21,21,FALSE)</f>
        <v>4.5285337703049304</v>
      </c>
      <c r="M12" s="47">
        <f>VLOOKUP($B12,'BaseLine Data'!$B9:$AQ21,22,FALSE)</f>
        <v>1.4326835012429675</v>
      </c>
      <c r="N12" s="47">
        <f>VLOOKUP($B12,'BaseLine Data'!$B9:$AQ21,25,FALSE)</f>
        <v>0.71579391891891897</v>
      </c>
      <c r="O12" s="47">
        <f>VLOOKUP($B12,'BaseLine Data'!$B9:$AQ21,26,FALSE)</f>
        <v>0.24662162162162163</v>
      </c>
      <c r="P12" s="40">
        <f>VLOOKUP($B12,'BaseLine Data'!$B9:$AQ21,27,FALSE)</f>
        <v>117.9</v>
      </c>
      <c r="Q12" s="40">
        <f>VLOOKUP($B12,'BaseLine Data'!$B9:$AQ21,28,FALSE)</f>
        <v>186.72</v>
      </c>
      <c r="R12" s="40">
        <f>VLOOKUP($B12,'BaseLine Data'!$B9:$AQ21,29,FALSE)</f>
        <v>53.59</v>
      </c>
      <c r="S12" s="40">
        <f>VLOOKUP($B12,'BaseLine Data'!$B9:$AQ21,30,FALSE)</f>
        <v>108.13</v>
      </c>
      <c r="T12" s="40">
        <f>VLOOKUP($B12,'BaseLine Data'!$B9:$AQ21,32,FALSE)</f>
        <v>26.05</v>
      </c>
      <c r="U12" s="48">
        <f>VLOOKUP($B12,'BaseLine Data'!$B9:$AQ21,33,FALSE)</f>
        <v>50.54</v>
      </c>
      <c r="V12" s="40">
        <f>VLOOKUP($B12,'BaseLine Data'!$B12:$BE24,44,FALSE)</f>
        <v>92.18</v>
      </c>
      <c r="W12" s="40">
        <f>VLOOKUP($B12,'BaseLine Data'!$B12:$BE24,45,FALSE)</f>
        <v>94.54</v>
      </c>
      <c r="X12" s="40">
        <f>VLOOKUP($B12,'BaseLine Data'!$B12:$BE24,46,FALSE)</f>
        <v>0</v>
      </c>
      <c r="Y12" s="40">
        <f>VLOOKUP($B12,'BaseLine Data'!$B12:$BE24,47,FALSE)</f>
        <v>0</v>
      </c>
      <c r="Z12" s="40">
        <f>VLOOKUP($B12,'BaseLine Data'!$B12:$BE24,51,FALSE)</f>
        <v>75.78</v>
      </c>
      <c r="AA12" s="40">
        <f>VLOOKUP($B12,'BaseLine Data'!$B12:$BE24,52,FALSE)</f>
        <v>32.35</v>
      </c>
      <c r="AB12" s="87"/>
      <c r="AC12" s="40">
        <f>VLOOKUP($B12,'BaseLine Data'!$B12:$BE24,53,FALSE)</f>
        <v>0</v>
      </c>
      <c r="AD12" s="48"/>
      <c r="AE12" s="40">
        <f>VLOOKUP($B12,'BaseLine Data'!$B$9:$AQ29,42,FALSE)</f>
        <v>4</v>
      </c>
    </row>
    <row r="13" spans="1:31">
      <c r="A13" s="10" t="s">
        <v>24</v>
      </c>
      <c r="B13" s="11" t="s">
        <v>29</v>
      </c>
      <c r="C13" s="11">
        <f>VLOOKUP($B13,'BaseLine Data'!$B9:$AQ21,2,FALSE)</f>
        <v>1</v>
      </c>
      <c r="D13" s="11" t="str">
        <f>VLOOKUP($B13,'BaseLine Data'!$B9:$AY21,3,FALSE)</f>
        <v>Quincy</v>
      </c>
      <c r="E13" s="11">
        <f>VLOOKUP($B13,'BaseLine Data'!$B9:$AY21,4,FALSE)</f>
        <v>1808</v>
      </c>
      <c r="F13" s="11">
        <f>VLOOKUP($B13,'BaseLine Data'!$B9:$AQ21,6,FALSE)</f>
        <v>1.5</v>
      </c>
      <c r="G13" s="11">
        <f>VLOOKUP($B13,'BaseLine Data'!$B9:$AQ21,7,FALSE)</f>
        <v>1905</v>
      </c>
      <c r="H13" s="11">
        <f>VLOOKUP($B13,'BaseLine Data'!$B9:$AQ21,13,FALSE)</f>
        <v>3484</v>
      </c>
      <c r="I13" s="11">
        <f>VLOOKUP($B13,'BaseLine Data'!$B9:$AQ21,14,FALSE)</f>
        <v>4576</v>
      </c>
      <c r="J13" s="11">
        <f>VLOOKUP($B13,'BaseLine Data'!$B9:$AQ21,19,FALSE)</f>
        <v>5050</v>
      </c>
      <c r="K13" s="11">
        <f>VLOOKUP($B13,'BaseLine Data'!$B9:$AQ21,20,FALSE)</f>
        <v>762</v>
      </c>
      <c r="L13" s="47">
        <f>VLOOKUP($B13,'BaseLine Data'!$B9:$AQ21,21,FALSE)</f>
        <v>18.53</v>
      </c>
      <c r="M13" s="47">
        <f>VLOOKUP($B13,'BaseLine Data'!$B9:$AQ21,22,FALSE)</f>
        <v>1.2579100863919002</v>
      </c>
      <c r="N13" s="47">
        <f>VLOOKUP($B13,'BaseLine Data'!$B9:$AQ21,25,FALSE)</f>
        <v>1.4494833524684272</v>
      </c>
      <c r="O13" s="47">
        <f>VLOOKUP($B13,'BaseLine Data'!$B9:$AQ21,26,FALSE)</f>
        <v>0.16652097902097901</v>
      </c>
      <c r="P13" s="40">
        <f>VLOOKUP($B13,'BaseLine Data'!$B9:$AQ21,27,FALSE)</f>
        <v>223.29</v>
      </c>
      <c r="Q13" s="40">
        <f>VLOOKUP($B13,'BaseLine Data'!$B9:$AQ21,28,FALSE)</f>
        <v>325.38</v>
      </c>
      <c r="R13" s="40">
        <f>VLOOKUP($B13,'BaseLine Data'!$B9:$AQ21,29,FALSE)</f>
        <v>59.97</v>
      </c>
      <c r="S13" s="40">
        <f>VLOOKUP($B13,'BaseLine Data'!$B9:$AQ21,30,FALSE)</f>
        <v>140.22</v>
      </c>
      <c r="T13" s="40">
        <f>VLOOKUP($B13,'BaseLine Data'!$B9:$AQ21,32,FALSE)</f>
        <v>29.67</v>
      </c>
      <c r="U13" s="48">
        <f>VLOOKUP($B13,'BaseLine Data'!$B9:$AQ21,33,FALSE)</f>
        <v>69.75</v>
      </c>
      <c r="V13" s="40">
        <f>VLOOKUP($B13,'BaseLine Data'!$B13:$BE25,44,FALSE)</f>
        <v>143.13999999999999</v>
      </c>
      <c r="W13" s="40">
        <f>VLOOKUP($B13,'BaseLine Data'!$B13:$BE25,45,FALSE)</f>
        <v>0</v>
      </c>
      <c r="X13" s="40">
        <f>VLOOKUP($B13,'BaseLine Data'!$B13:$BE25,46,FALSE)</f>
        <v>182.24</v>
      </c>
      <c r="Y13" s="40">
        <f>VLOOKUP($B13,'BaseLine Data'!$B13:$BE25,47,FALSE)</f>
        <v>0</v>
      </c>
      <c r="Z13" s="40">
        <f>VLOOKUP($B13,'BaseLine Data'!$B13:$BE25,51,FALSE)</f>
        <v>112.79</v>
      </c>
      <c r="AA13" s="40">
        <f>VLOOKUP($B13,'BaseLine Data'!$B13:$BE25,52,FALSE)</f>
        <v>27.43</v>
      </c>
      <c r="AB13" s="87"/>
      <c r="AC13" s="40">
        <f>VLOOKUP($B13,'BaseLine Data'!$B13:$BE25,53,FALSE)</f>
        <v>0</v>
      </c>
      <c r="AD13" s="48"/>
      <c r="AE13" s="40">
        <f>VLOOKUP($B13,'BaseLine Data'!$B$9:$AQ30,42,FALSE)</f>
        <v>5</v>
      </c>
    </row>
    <row r="14" spans="1:31" ht="30">
      <c r="A14" s="10" t="s">
        <v>24</v>
      </c>
      <c r="B14" s="11" t="s">
        <v>30</v>
      </c>
      <c r="C14" s="11">
        <f>VLOOKUP($B14,'BaseLine Data'!$B9:$AQ21,2,FALSE)</f>
        <v>2</v>
      </c>
      <c r="D14" s="11" t="str">
        <f>VLOOKUP($B14,'BaseLine Data'!$B9:$AQ21,3,FALSE)</f>
        <v>Arlington</v>
      </c>
      <c r="E14" s="11">
        <f>VLOOKUP($B14,'BaseLine Data'!$B9:$AQ21,4,FALSE)</f>
        <v>2112</v>
      </c>
      <c r="F14" s="11">
        <f>VLOOKUP($B14,'BaseLine Data'!$B9:$AQ21,6,FALSE)</f>
        <v>2</v>
      </c>
      <c r="G14" s="11">
        <f>VLOOKUP($B14,'BaseLine Data'!$B9:$AQ21,7,FALSE)</f>
        <v>1910</v>
      </c>
      <c r="H14" s="11">
        <f>VLOOKUP($B14,'BaseLine Data'!$B9:$AQ21,13,FALSE)</f>
        <v>2502</v>
      </c>
      <c r="I14" s="11">
        <f>VLOOKUP($B14,'BaseLine Data'!$B9:$AQ21,14,FALSE)</f>
        <v>3627</v>
      </c>
      <c r="J14" s="11">
        <f>VLOOKUP($B14,'BaseLine Data'!$B9:$AQ21,19,FALSE)</f>
        <v>8730</v>
      </c>
      <c r="K14" s="11">
        <f>VLOOKUP($B14,'BaseLine Data'!$B9:$AQ21,20,FALSE)</f>
        <v>3586</v>
      </c>
      <c r="L14" s="47">
        <f>VLOOKUP($B14,'BaseLine Data'!$B9:$AQ21,21,FALSE)</f>
        <v>25.986009822890313</v>
      </c>
      <c r="M14" s="47">
        <f>VLOOKUP($B14,'BaseLine Data'!$B9:$AQ21,22,FALSE)</f>
        <v>7.2571505666486775</v>
      </c>
      <c r="N14" s="47">
        <f>VLOOKUP($B14,'BaseLine Data'!$B9:$AQ21,25,FALSE)</f>
        <v>3.4892086330935252</v>
      </c>
      <c r="O14" s="47">
        <f>VLOOKUP($B14,'BaseLine Data'!$B9:$AQ21,26,FALSE)</f>
        <v>0.98869589192169838</v>
      </c>
      <c r="P14" s="40">
        <f>VLOOKUP($B14,'BaseLine Data'!$B9:$AQ21,27,FALSE)</f>
        <v>390.16</v>
      </c>
      <c r="Q14" s="40">
        <f>VLOOKUP($B14,'BaseLine Data'!$B9:$AQ21,28,FALSE)</f>
        <v>477.88</v>
      </c>
      <c r="R14" s="40">
        <f>VLOOKUP($B14,'BaseLine Data'!$B9:$AQ21,29,FALSE)</f>
        <v>100.75</v>
      </c>
      <c r="S14" s="40">
        <f>VLOOKUP($B14,'BaseLine Data'!$B9:$AQ21,30,FALSE)</f>
        <v>216.58</v>
      </c>
      <c r="T14" s="40">
        <f>VLOOKUP($B14,'BaseLine Data'!$B9:$AQ21,32,FALSE)</f>
        <v>44.42</v>
      </c>
      <c r="U14" s="48">
        <f>VLOOKUP($B14,'BaseLine Data'!$B9:$AQ21,33,FALSE)</f>
        <v>91.72</v>
      </c>
      <c r="V14" s="40">
        <f>VLOOKUP($B14,'BaseLine Data'!$B14:$BE26,44,FALSE)</f>
        <v>101.07</v>
      </c>
      <c r="W14" s="40">
        <f>VLOOKUP($B14,'BaseLine Data'!$B14:$BE26,45,FALSE)</f>
        <v>376.82</v>
      </c>
      <c r="X14" s="40">
        <f>VLOOKUP($B14,'BaseLine Data'!$B14:$BE26,46,FALSE)</f>
        <v>0</v>
      </c>
      <c r="Y14" s="40">
        <f>VLOOKUP($B14,'BaseLine Data'!$B14:$BE26,47,FALSE)</f>
        <v>0</v>
      </c>
      <c r="Z14" s="40">
        <f>VLOOKUP($B14,'BaseLine Data'!$B14:$BE26,51,FALSE)</f>
        <v>161.83000000000001</v>
      </c>
      <c r="AA14" s="40">
        <f>VLOOKUP($B14,'BaseLine Data'!$B14:$BE26,52,FALSE)</f>
        <v>54.76</v>
      </c>
      <c r="AB14" s="87"/>
      <c r="AC14" s="40">
        <f>VLOOKUP($B14,'BaseLine Data'!$B14:$BE26,53,FALSE)</f>
        <v>0</v>
      </c>
      <c r="AD14" s="48"/>
      <c r="AE14" s="40">
        <f>VLOOKUP($B14,'BaseLine Data'!$B$9:$AQ31,42,FALSE)</f>
        <v>6</v>
      </c>
    </row>
    <row r="15" spans="1:31">
      <c r="A15" s="10" t="s">
        <v>24</v>
      </c>
      <c r="B15" s="11" t="s">
        <v>32</v>
      </c>
      <c r="C15" s="11">
        <f>VLOOKUP($B15,'BaseLine Data'!$B9:$AQ21,2,FALSE)</f>
        <v>1</v>
      </c>
      <c r="D15" s="11" t="str">
        <f>VLOOKUP($B15,'BaseLine Data'!$B9:$AQ21,3,FALSE)</f>
        <v>Newton</v>
      </c>
      <c r="E15" s="11">
        <f>VLOOKUP($B15,'BaseLine Data'!$B9:$AQ21,4,FALSE)</f>
        <v>1724</v>
      </c>
      <c r="F15" s="11">
        <f>VLOOKUP($B15,'BaseLine Data'!$B9:$AQ21,6,FALSE)</f>
        <v>1</v>
      </c>
      <c r="G15" s="11">
        <f>VLOOKUP($B15,'BaseLine Data'!$B9:$AQ21,7,FALSE)</f>
        <v>1930</v>
      </c>
      <c r="H15" s="11">
        <f>VLOOKUP($B15,'BaseLine Data'!$B9:$AQ21,13,FALSE)</f>
        <v>1815</v>
      </c>
      <c r="I15" s="11">
        <f>VLOOKUP($B15,'BaseLine Data'!$B9:$AQ21,14,FALSE)</f>
        <v>2199</v>
      </c>
      <c r="J15" s="11">
        <f>VLOOKUP($B15,'BaseLine Data'!$B9:$AQ21,19,FALSE)</f>
        <v>3199</v>
      </c>
      <c r="K15" s="11">
        <f>VLOOKUP($B15,'BaseLine Data'!$B9:$AQ21,20,FALSE)</f>
        <v>1299</v>
      </c>
      <c r="L15" s="47">
        <f>VLOOKUP($B15,'BaseLine Data'!$B9:$AQ21,21,FALSE)</f>
        <v>10.192767245499441</v>
      </c>
      <c r="M15" s="47">
        <f>VLOOKUP($B15,'BaseLine Data'!$B9:$AQ21,22,FALSE)</f>
        <v>3.558254200146092</v>
      </c>
      <c r="N15" s="47">
        <f>VLOOKUP($B15,'BaseLine Data'!$B9:$AQ21,25,FALSE)</f>
        <v>1.7625344352617081</v>
      </c>
      <c r="O15" s="47">
        <f>VLOOKUP($B15,'BaseLine Data'!$B9:$AQ21,26,FALSE)</f>
        <v>0.59072305593451568</v>
      </c>
      <c r="P15" s="40">
        <f>VLOOKUP($B15,'BaseLine Data'!$B9:$AQ21,27,FALSE)</f>
        <v>148.27000000000001</v>
      </c>
      <c r="Q15" s="40">
        <f>VLOOKUP($B15,'BaseLine Data'!$B9:$AQ21,28,FALSE)</f>
        <v>215.02</v>
      </c>
      <c r="R15" s="40">
        <f>VLOOKUP($B15,'BaseLine Data'!$B9:$AQ21,29,FALSE)</f>
        <v>66.16</v>
      </c>
      <c r="S15" s="40">
        <f>VLOOKUP($B15,'BaseLine Data'!$B9:$AQ21,30,FALSE)</f>
        <v>125.36</v>
      </c>
      <c r="T15" s="40">
        <f>VLOOKUP($B15,'BaseLine Data'!$B9:$AQ21,32,FALSE)</f>
        <v>28.33</v>
      </c>
      <c r="U15" s="48">
        <f>VLOOKUP($B15,'BaseLine Data'!$B9:$AQ21,33,FALSE)</f>
        <v>55.42</v>
      </c>
      <c r="V15" s="40">
        <f>VLOOKUP($B15,'BaseLine Data'!$B15:$BE27,44,FALSE)</f>
        <v>87.08</v>
      </c>
      <c r="W15" s="40">
        <f>VLOOKUP($B15,'BaseLine Data'!$B15:$BE27,45,FALSE)</f>
        <v>127.94</v>
      </c>
      <c r="X15" s="40">
        <f>VLOOKUP($B15,'BaseLine Data'!$B15:$BE27,46,FALSE)</f>
        <v>0</v>
      </c>
      <c r="Y15" s="40">
        <f>VLOOKUP($B15,'BaseLine Data'!$B15:$BE27,47,FALSE)</f>
        <v>0</v>
      </c>
      <c r="Z15" s="40">
        <f>VLOOKUP($B15,'BaseLine Data'!$B15:$BE27,51,FALSE)</f>
        <v>81.7</v>
      </c>
      <c r="AA15" s="40">
        <f>VLOOKUP($B15,'BaseLine Data'!$B15:$BE27,52,FALSE)</f>
        <v>43.66</v>
      </c>
      <c r="AB15" s="87"/>
      <c r="AC15" s="40">
        <f>VLOOKUP($B15,'BaseLine Data'!$B15:$BE27,53,FALSE)</f>
        <v>0</v>
      </c>
      <c r="AD15" s="48"/>
      <c r="AE15" s="40">
        <f>VLOOKUP($B15,'BaseLine Data'!$B$9:$AQ32,42,FALSE)</f>
        <v>7</v>
      </c>
    </row>
    <row r="16" spans="1:31">
      <c r="A16" s="10" t="s">
        <v>24</v>
      </c>
      <c r="B16" s="11" t="s">
        <v>33</v>
      </c>
      <c r="C16" s="11">
        <f>VLOOKUP($B16,'BaseLine Data'!$B9:$AQ21,2,FALSE)</f>
        <v>3</v>
      </c>
      <c r="D16" s="11" t="str">
        <f>VLOOKUP($B16,'BaseLine Data'!$B9:$AQ21,3,FALSE)</f>
        <v>Jamaica Plain</v>
      </c>
      <c r="E16" s="11">
        <f>VLOOKUP($B16,'BaseLine Data'!$B9:$AQ21,4,FALSE)</f>
        <v>3885</v>
      </c>
      <c r="F16" s="11">
        <f>VLOOKUP($B16,'BaseLine Data'!$B9:$AQ21,6,FALSE)</f>
        <v>3</v>
      </c>
      <c r="G16" s="11">
        <f>VLOOKUP($B16,'BaseLine Data'!$B9:$AQ21,7,FALSE)</f>
        <v>1907</v>
      </c>
      <c r="H16" s="11">
        <f>VLOOKUP($B16,'BaseLine Data'!$B9:$AQ21,13,FALSE)</f>
        <v>3885</v>
      </c>
      <c r="I16" s="11">
        <f>VLOOKUP($B16,'BaseLine Data'!$B9:$AQ21,14,FALSE)</f>
        <v>3885</v>
      </c>
      <c r="J16" s="11">
        <f>VLOOKUP($B16,'BaseLine Data'!$B9:$AQ21,19,FALSE)</f>
        <v>7729</v>
      </c>
      <c r="K16" s="11">
        <f>VLOOKUP($B16,'BaseLine Data'!$B9:$AQ21,20,FALSE)</f>
        <v>1802</v>
      </c>
      <c r="L16" s="47">
        <f>VLOOKUP($B16,'BaseLine Data'!$B9:$AQ21,21,FALSE)</f>
        <v>10.889494199971821</v>
      </c>
      <c r="M16" s="47">
        <f>VLOOKUP($B16,'BaseLine Data'!$B9:$AQ21,22,FALSE)</f>
        <v>2.5388625369839852</v>
      </c>
      <c r="N16" s="47">
        <f>VLOOKUP($B16,'BaseLine Data'!$B9:$AQ21,25,FALSE)</f>
        <v>1.9894465894465894</v>
      </c>
      <c r="O16" s="47">
        <f>VLOOKUP($B16,'BaseLine Data'!$B9:$AQ21,26,FALSE)</f>
        <v>0.46383526383526386</v>
      </c>
      <c r="P16" s="40">
        <f>VLOOKUP($B16,'BaseLine Data'!$B9:$AQ21,27,FALSE)</f>
        <v>202.65</v>
      </c>
      <c r="Q16" s="40">
        <f>VLOOKUP($B16,'BaseLine Data'!$B9:$AQ21,28,FALSE)</f>
        <v>268.45999999999998</v>
      </c>
      <c r="R16" s="40">
        <f>VLOOKUP($B16,'BaseLine Data'!$B9:$AQ21,29,FALSE)</f>
        <v>100.8</v>
      </c>
      <c r="S16" s="40">
        <f>VLOOKUP($B16,'BaseLine Data'!$B9:$AQ21,30,FALSE)</f>
        <v>153.69999999999999</v>
      </c>
      <c r="T16" s="40">
        <f>VLOOKUP($B16,'BaseLine Data'!$B9:$AQ21,32,FALSE)</f>
        <v>50.35</v>
      </c>
      <c r="U16" s="48">
        <f>VLOOKUP($B16,'BaseLine Data'!$B9:$AQ21,33,FALSE)</f>
        <v>75.52</v>
      </c>
      <c r="V16" s="40">
        <f>VLOOKUP($B16,'BaseLine Data'!$B16:$BE28,44,FALSE)</f>
        <v>81.98</v>
      </c>
      <c r="W16" s="40">
        <f>VLOOKUP($B16,'BaseLine Data'!$B16:$BE28,45,FALSE)</f>
        <v>186.47</v>
      </c>
      <c r="X16" s="40">
        <f>VLOOKUP($B16,'BaseLine Data'!$B16:$BE28,46,FALSE)</f>
        <v>0</v>
      </c>
      <c r="Y16" s="40">
        <f>VLOOKUP($B16,'BaseLine Data'!$B16:$BE28,47,FALSE)</f>
        <v>0</v>
      </c>
      <c r="Z16" s="40">
        <f>VLOOKUP($B16,'BaseLine Data'!$B16:$BE28,51,FALSE)</f>
        <v>70.14</v>
      </c>
      <c r="AA16" s="40">
        <f>VLOOKUP($B16,'BaseLine Data'!$B16:$BE28,52,FALSE)</f>
        <v>83.55</v>
      </c>
      <c r="AB16" s="87"/>
      <c r="AC16" s="40">
        <f>VLOOKUP($B16,'BaseLine Data'!$B16:$BE28,53,FALSE)</f>
        <v>0</v>
      </c>
      <c r="AD16" s="48"/>
      <c r="AE16" s="40">
        <f>VLOOKUP($B16,'BaseLine Data'!$B$9:$AQ33,42,FALSE)</f>
        <v>8</v>
      </c>
    </row>
    <row r="17" spans="1:31" ht="30">
      <c r="A17" s="10" t="s">
        <v>24</v>
      </c>
      <c r="B17" s="11" t="s">
        <v>34</v>
      </c>
      <c r="C17" s="11">
        <f>VLOOKUP($B17,'BaseLine Data'!$B9:$AQ21,2,FALSE)</f>
        <v>1</v>
      </c>
      <c r="D17" s="11" t="str">
        <f>VLOOKUP($B17,'BaseLine Data'!$B9:$AQ21,3,FALSE)</f>
        <v>Northampton</v>
      </c>
      <c r="E17" s="11">
        <f>VLOOKUP($B17,'BaseLine Data'!$B9:$AQ21,4,FALSE)</f>
        <v>2032</v>
      </c>
      <c r="F17" s="11">
        <f>VLOOKUP($B17,'BaseLine Data'!$B9:$AQ21,6,FALSE)</f>
        <v>1</v>
      </c>
      <c r="G17" s="11">
        <f>VLOOKUP($B17,'BaseLine Data'!$B9:$AQ21,7,FALSE)</f>
        <v>1859</v>
      </c>
      <c r="H17" s="11">
        <f>VLOOKUP($B17,'BaseLine Data'!$B9:$AQ21,13,FALSE)</f>
        <v>2032</v>
      </c>
      <c r="I17" s="11">
        <f>VLOOKUP($B17,'BaseLine Data'!$B9:$AQ21,14,FALSE)</f>
        <v>2747</v>
      </c>
      <c r="J17" s="11">
        <f>VLOOKUP($B17,'BaseLine Data'!$B9:$AQ21,19,FALSE)</f>
        <v>6155</v>
      </c>
      <c r="K17" s="11">
        <f>VLOOKUP($B17,'BaseLine Data'!$B9:$AQ21,20,FALSE)</f>
        <v>473</v>
      </c>
      <c r="L17" s="47">
        <f>VLOOKUP($B17,'BaseLine Data'!$B9:$AQ21,21,FALSE)</f>
        <v>0</v>
      </c>
      <c r="M17" s="47">
        <f>VLOOKUP($B17,'BaseLine Data'!$B9:$AQ21,22,FALSE)</f>
        <v>0.81966266173752311</v>
      </c>
      <c r="N17" s="47">
        <f>VLOOKUP($B17,'BaseLine Data'!$B9:$AQ21,25,FALSE)</f>
        <v>3.0290354330708662</v>
      </c>
      <c r="O17" s="47">
        <f>VLOOKUP($B17,'BaseLine Data'!$B9:$AQ21,26,FALSE)</f>
        <v>0.17218784128139789</v>
      </c>
      <c r="P17" s="40">
        <f>VLOOKUP($B17,'BaseLine Data'!$B9:$AQ21,27,FALSE)</f>
        <v>131.56</v>
      </c>
      <c r="Q17" s="40">
        <f>VLOOKUP($B17,'BaseLine Data'!$B9:$AQ21,28,FALSE)</f>
        <v>172.52</v>
      </c>
      <c r="R17" s="40">
        <f>VLOOKUP($B17,'BaseLine Data'!$B9:$AQ21,29,FALSE)</f>
        <v>26.27</v>
      </c>
      <c r="S17" s="40">
        <f>VLOOKUP($B17,'BaseLine Data'!$B9:$AQ21,30,FALSE)</f>
        <v>87.74</v>
      </c>
      <c r="T17" s="40">
        <f>VLOOKUP($B17,'BaseLine Data'!$B9:$AQ21,32,FALSE)</f>
        <v>12.38</v>
      </c>
      <c r="U17" s="48">
        <f>VLOOKUP($B17,'BaseLine Data'!$B9:$AQ21,33,FALSE)</f>
        <v>41.35</v>
      </c>
      <c r="V17" s="40">
        <f>VLOOKUP($B17,'BaseLine Data'!$B17:$BE29,44,FALSE)</f>
        <v>50.65</v>
      </c>
      <c r="W17" s="40">
        <f>VLOOKUP($B17,'BaseLine Data'!$B17:$BE29,45,FALSE)</f>
        <v>121.87</v>
      </c>
      <c r="X17" s="40">
        <f>VLOOKUP($B17,'BaseLine Data'!$B17:$BE29,46,FALSE)</f>
        <v>0</v>
      </c>
      <c r="Y17" s="40">
        <f>VLOOKUP($B17,'BaseLine Data'!$B17:$BE29,47,FALSE)</f>
        <v>0</v>
      </c>
      <c r="Z17" s="40">
        <f>VLOOKUP($B17,'BaseLine Data'!$B17:$BE29,51,FALSE)</f>
        <v>87.74</v>
      </c>
      <c r="AA17" s="40">
        <f>VLOOKUP($B17,'BaseLine Data'!$B17:$BE29,52,FALSE)</f>
        <v>0</v>
      </c>
      <c r="AB17" s="87"/>
      <c r="AC17" s="40">
        <f>VLOOKUP($B17,'BaseLine Data'!$B17:$BE29,53,FALSE)</f>
        <v>0</v>
      </c>
      <c r="AD17" s="48"/>
      <c r="AE17" s="40">
        <f>VLOOKUP($B17,'BaseLine Data'!$B$9:$AQ34,42,FALSE)</f>
        <v>9</v>
      </c>
    </row>
    <row r="18" spans="1:31" ht="90">
      <c r="A18" s="10" t="s">
        <v>24</v>
      </c>
      <c r="B18" s="11" t="s">
        <v>35</v>
      </c>
      <c r="C18" s="11">
        <f>VLOOKUP($B18,'BaseLine Data'!$B9:$AQ21,2,FALSE)</f>
        <v>1</v>
      </c>
      <c r="D18" s="11" t="str">
        <f>VLOOKUP($B18,'BaseLine Data'!$B9:$AQ21,3,FALSE)</f>
        <v>Lancaster</v>
      </c>
      <c r="E18" s="11">
        <f>VLOOKUP($B18,'BaseLine Data'!$B9:$AQ21,4,FALSE)</f>
        <v>908</v>
      </c>
      <c r="F18" s="11">
        <f>VLOOKUP($B18,'BaseLine Data'!$B9:$AQ21,6,FALSE)</f>
        <v>2</v>
      </c>
      <c r="G18" s="11">
        <f>VLOOKUP($B18,'BaseLine Data'!$B9:$AQ21,7,FALSE)</f>
        <v>1900</v>
      </c>
      <c r="H18" s="11">
        <f>VLOOKUP($B18,'BaseLine Data'!$B9:$AQ21,13,FALSE)</f>
        <v>980</v>
      </c>
      <c r="I18" s="11">
        <f>VLOOKUP($B18,'BaseLine Data'!$B9:$AQ21,14,FALSE)</f>
        <v>1440</v>
      </c>
      <c r="J18" s="11">
        <f>VLOOKUP($B18,'BaseLine Data'!$B9:$AQ21,19,FALSE)</f>
        <v>4254</v>
      </c>
      <c r="K18" s="11">
        <f>VLOOKUP($B18,'BaseLine Data'!$B9:$AQ21,20,FALSE)</f>
        <v>293</v>
      </c>
      <c r="L18" s="47">
        <f>VLOOKUP($B18,'BaseLine Data'!$B9:$AQ21,21,FALSE)</f>
        <v>36.050847457627121</v>
      </c>
      <c r="M18" s="47">
        <f>VLOOKUP($B18,'BaseLine Data'!$B9:$AQ21,22,FALSE)</f>
        <v>1.4250972762645915</v>
      </c>
      <c r="N18" s="47">
        <f>VLOOKUP($B18,'BaseLine Data'!$B9:$AQ21,25,FALSE)</f>
        <v>4.3408163265306126</v>
      </c>
      <c r="O18" s="47">
        <f>VLOOKUP($B18,'BaseLine Data'!$B9:$AQ21,26,FALSE)</f>
        <v>0.20347222222222222</v>
      </c>
      <c r="P18" s="40">
        <f>VLOOKUP($B18,'BaseLine Data'!$B9:$AQ21,27,FALSE)</f>
        <v>121.66</v>
      </c>
      <c r="Q18" s="40">
        <f>VLOOKUP($B18,'BaseLine Data'!$B9:$AQ21,28,FALSE)</f>
        <v>167.79</v>
      </c>
      <c r="R18" s="40">
        <f>VLOOKUP($B18,'BaseLine Data'!$B9:$AQ21,29,FALSE)</f>
        <v>0</v>
      </c>
      <c r="S18" s="40">
        <f>VLOOKUP($B18,'BaseLine Data'!$B9:$AQ21,30,FALSE)</f>
        <v>0</v>
      </c>
      <c r="T18" s="40">
        <f>VLOOKUP($B18,'BaseLine Data'!$B9:$AQ21,32,FALSE)</f>
        <v>22.26</v>
      </c>
      <c r="U18" s="48">
        <f>VLOOKUP($B18,'BaseLine Data'!$B9:$AQ21,33,FALSE)</f>
        <v>50.03</v>
      </c>
      <c r="V18" s="40">
        <f>VLOOKUP($B18,'BaseLine Data'!$B18:$BE30,44,FALSE)</f>
        <v>64.38</v>
      </c>
      <c r="W18" s="40">
        <f>VLOOKUP($B18,'BaseLine Data'!$B18:$BE30,45,FALSE)</f>
        <v>103.41</v>
      </c>
      <c r="X18" s="40">
        <f>VLOOKUP($B18,'BaseLine Data'!$B18:$BE30,46,FALSE)</f>
        <v>0</v>
      </c>
      <c r="Y18" s="40">
        <f>VLOOKUP($B18,'BaseLine Data'!$B18:$BE30,47,FALSE)</f>
        <v>0</v>
      </c>
      <c r="Z18" s="40">
        <f>VLOOKUP($B18,'BaseLine Data'!$B18:$BE30,51,FALSE)</f>
        <v>38.93</v>
      </c>
      <c r="AA18" s="40">
        <f>VLOOKUP($B18,'BaseLine Data'!$B18:$BE30,52,FALSE)</f>
        <v>11.1</v>
      </c>
      <c r="AB18" s="87"/>
      <c r="AC18" s="40">
        <f>VLOOKUP($B18,'BaseLine Data'!$B18:$BE30,53,FALSE)</f>
        <v>0</v>
      </c>
      <c r="AD18" s="48"/>
      <c r="AE18" s="40">
        <f>VLOOKUP($B18,'BaseLine Data'!$B$9:$AQ35,42,FALSE)</f>
        <v>10</v>
      </c>
    </row>
    <row r="19" spans="1:31">
      <c r="A19" s="10" t="s">
        <v>31</v>
      </c>
      <c r="B19" s="11" t="s">
        <v>36</v>
      </c>
      <c r="C19" s="11">
        <f>VLOOKUP($B19,'BaseLine Data'!$B9:$AQ21,2,FALSE)</f>
        <v>1</v>
      </c>
      <c r="D19" s="11" t="str">
        <f>VLOOKUP($B19,'BaseLine Data'!$B9:$AQ21,3,FALSE)</f>
        <v>Brookline</v>
      </c>
      <c r="E19" s="11">
        <f>VLOOKUP($B19,'BaseLine Data'!$B9:$AQ21,4,FALSE)</f>
        <v>2284</v>
      </c>
      <c r="F19" s="11">
        <f>VLOOKUP($B19,'BaseLine Data'!$B9:$AQ21,6,FALSE)</f>
        <v>3</v>
      </c>
      <c r="G19" s="11">
        <f>VLOOKUP($B19,'BaseLine Data'!$B9:$AQ21,7,FALSE)</f>
        <v>1899</v>
      </c>
      <c r="H19" s="11">
        <f>VLOOKUP($B19,'BaseLine Data'!$B9:$AQ21,13,FALSE)</f>
        <v>3078</v>
      </c>
      <c r="I19" s="11">
        <f>VLOOKUP($B19,'BaseLine Data'!$B9:$AQ21,14,FALSE)</f>
        <v>3174</v>
      </c>
      <c r="J19" s="11">
        <f>VLOOKUP($B19,'BaseLine Data'!$B9:$AQ21,19,FALSE)</f>
        <v>1640</v>
      </c>
      <c r="K19" s="11">
        <f>VLOOKUP($B19,'BaseLine Data'!$B9:$AQ21,20,FALSE)</f>
        <v>655</v>
      </c>
      <c r="L19" s="47">
        <f>VLOOKUP($B19,'BaseLine Data'!$B9:$AQ21,21,FALSE)</f>
        <v>3.7575896437163481</v>
      </c>
      <c r="M19" s="47">
        <f>VLOOKUP($B19,'BaseLine Data'!$B9:$AQ21,22,FALSE)</f>
        <v>1.5007446442891512</v>
      </c>
      <c r="N19" s="47">
        <f>VLOOKUP($B19,'BaseLine Data'!$B9:$AQ21,25,FALSE)</f>
        <v>0.53281351526965559</v>
      </c>
      <c r="O19" s="47">
        <f>VLOOKUP($B19,'BaseLine Data'!$B9:$AQ21,26,FALSE)</f>
        <v>0.20636420919974796</v>
      </c>
      <c r="P19" s="40">
        <f>VLOOKUP($B19,'BaseLine Data'!$B9:$AQ21,27,FALSE)</f>
        <v>88.51</v>
      </c>
      <c r="Q19" s="40">
        <f>VLOOKUP($B19,'BaseLine Data'!$B9:$AQ21,28,FALSE)</f>
        <v>118.37</v>
      </c>
      <c r="R19" s="40">
        <f>VLOOKUP($B19,'BaseLine Data'!$B9:$AQ21,29,FALSE)</f>
        <v>0</v>
      </c>
      <c r="S19" s="40">
        <f>VLOOKUP($B19,'BaseLine Data'!$B9:$AQ21,30,FALSE)</f>
        <v>0</v>
      </c>
      <c r="T19" s="40">
        <f>VLOOKUP($B19,'BaseLine Data'!$B9:$AQ21,32,FALSE)</f>
        <v>28.04</v>
      </c>
      <c r="U19" s="48">
        <f>VLOOKUP($B19,'BaseLine Data'!$B9:$AQ21,33,FALSE)</f>
        <v>43.43</v>
      </c>
      <c r="V19" s="40">
        <f>VLOOKUP($B19,'BaseLine Data'!$B19:$BE31,44,FALSE)</f>
        <v>37.44</v>
      </c>
      <c r="W19" s="40">
        <f>VLOOKUP($B19,'BaseLine Data'!$B19:$BE31,45,FALSE)</f>
        <v>80.930000000000007</v>
      </c>
      <c r="X19" s="40">
        <f>VLOOKUP($B19,'BaseLine Data'!$B19:$BE31,46,FALSE)</f>
        <v>0</v>
      </c>
      <c r="Y19" s="40">
        <f>VLOOKUP($B19,'BaseLine Data'!$B19:$BE31,47,FALSE)</f>
        <v>0</v>
      </c>
      <c r="Z19" s="40">
        <f>VLOOKUP($B19,'BaseLine Data'!$B19:$BE31,51,FALSE)</f>
        <v>20.5</v>
      </c>
      <c r="AA19" s="40">
        <f>VLOOKUP($B19,'BaseLine Data'!$B19:$BE31,52,FALSE)</f>
        <v>22.93</v>
      </c>
      <c r="AB19" s="87"/>
      <c r="AC19" s="40">
        <f>VLOOKUP($B19,'BaseLine Data'!$B19:$BE31,53,FALSE)</f>
        <v>0</v>
      </c>
      <c r="AD19" s="48"/>
      <c r="AE19" s="40">
        <f>VLOOKUP($B19,'BaseLine Data'!$B$9:$AQ36,42,FALSE)</f>
        <v>11</v>
      </c>
    </row>
    <row r="20" spans="1:31">
      <c r="A20" s="10" t="s">
        <v>24</v>
      </c>
      <c r="B20" s="11" t="s">
        <v>37</v>
      </c>
      <c r="C20" s="11">
        <f>VLOOKUP($B20,'BaseLine Data'!$B9:$AQ21,2,FALSE)</f>
        <v>1</v>
      </c>
      <c r="D20" s="11" t="str">
        <f>VLOOKUP($B20,'BaseLine Data'!$B9:$AQ21,3,FALSE)</f>
        <v>Westford</v>
      </c>
      <c r="E20" s="11">
        <f>VLOOKUP($B20,'BaseLine Data'!$B9:$AQ21,4,FALSE)</f>
        <v>2906</v>
      </c>
      <c r="F20" s="11">
        <f>VLOOKUP($B20,'BaseLine Data'!$B9:$AQ21,6,FALSE)</f>
        <v>2</v>
      </c>
      <c r="G20" s="11">
        <f>VLOOKUP($B20,'BaseLine Data'!$B9:$AQ21,7,FALSE)</f>
        <v>1993</v>
      </c>
      <c r="H20" s="11">
        <f>VLOOKUP($B20,'BaseLine Data'!$B9:$AQ21,13,FALSE)</f>
        <v>2906</v>
      </c>
      <c r="I20" s="11">
        <f>VLOOKUP($B20,'BaseLine Data'!$B9:$AQ21,14,FALSE)</f>
        <v>3955</v>
      </c>
      <c r="J20" s="11">
        <f>VLOOKUP($B20,'BaseLine Data'!$B9:$AQ21,19,FALSE)</f>
        <v>2592</v>
      </c>
      <c r="K20" s="11">
        <f>VLOOKUP($B20,'BaseLine Data'!$B9:$AQ21,20,FALSE)</f>
        <v>930</v>
      </c>
      <c r="L20" s="47">
        <f>VLOOKUP($B20,'BaseLine Data'!$B9:$AQ21,21,FALSE)</f>
        <v>4.8259169614596908</v>
      </c>
      <c r="M20" s="47">
        <f>VLOOKUP($B20,'BaseLine Data'!$B9:$AQ21,22,FALSE)</f>
        <v>1.2546374367622262</v>
      </c>
      <c r="N20" s="47">
        <f>VLOOKUP($B20,'BaseLine Data'!$B9:$AQ21,25,FALSE)</f>
        <v>0.89194769442532695</v>
      </c>
      <c r="O20" s="47">
        <f>VLOOKUP($B20,'BaseLine Data'!$B9:$AQ21,26,FALSE)</f>
        <v>0.23514538558786346</v>
      </c>
      <c r="P20" s="40">
        <f>VLOOKUP($B20,'BaseLine Data'!$B9:$AQ21,27,FALSE)</f>
        <v>209.42</v>
      </c>
      <c r="Q20" s="40">
        <f>VLOOKUP($B20,'BaseLine Data'!$B9:$AQ21,28,FALSE)</f>
        <v>295.67</v>
      </c>
      <c r="R20" s="40">
        <f>VLOOKUP($B20,'BaseLine Data'!$B9:$AQ21,29,FALSE)</f>
        <v>0</v>
      </c>
      <c r="S20" s="40">
        <f>VLOOKUP($B20,'BaseLine Data'!$B9:$AQ21,30,FALSE)</f>
        <v>0</v>
      </c>
      <c r="T20" s="40">
        <f>VLOOKUP($B20,'BaseLine Data'!$B9:$AQ21,32,FALSE)</f>
        <v>56.66</v>
      </c>
      <c r="U20" s="48">
        <f>VLOOKUP($B20,'BaseLine Data'!$B9:$AQ21,33,FALSE)</f>
        <v>103.25</v>
      </c>
      <c r="V20" s="40">
        <f>VLOOKUP($B20,'BaseLine Data'!$B20:$BE32,44,FALSE)</f>
        <v>111.29</v>
      </c>
      <c r="W20" s="40">
        <f>VLOOKUP($B20,'BaseLine Data'!$B20:$BE32,45,FALSE)</f>
        <v>184.38</v>
      </c>
      <c r="X20" s="40">
        <f>VLOOKUP($B20,'BaseLine Data'!$B20:$BE32,46,FALSE)</f>
        <v>0</v>
      </c>
      <c r="Y20" s="40">
        <f>VLOOKUP($B20,'BaseLine Data'!$B20:$BE32,47,FALSE)</f>
        <v>0</v>
      </c>
      <c r="Z20" s="40">
        <f>VLOOKUP($B20,'BaseLine Data'!$B20:$BE32,51,FALSE)</f>
        <v>63.98</v>
      </c>
      <c r="AA20" s="40">
        <f>VLOOKUP($B20,'BaseLine Data'!$B20:$BE32,52,FALSE)</f>
        <v>39.26</v>
      </c>
      <c r="AB20" s="87"/>
      <c r="AC20" s="40">
        <f>VLOOKUP($B20,'BaseLine Data'!$B20:$BE32,53,FALSE)</f>
        <v>0</v>
      </c>
      <c r="AD20" s="48"/>
      <c r="AE20" s="40">
        <f>VLOOKUP($B20,'BaseLine Data'!$B$9:$AQ37,42,FALSE)</f>
        <v>12</v>
      </c>
    </row>
    <row r="21" spans="1:31" ht="30">
      <c r="A21" s="10" t="s">
        <v>24</v>
      </c>
      <c r="B21" s="11" t="s">
        <v>38</v>
      </c>
      <c r="C21" s="11">
        <f>VLOOKUP($B21,'BaseLine Data'!$B9:$AQ21,2,FALSE)</f>
        <v>1</v>
      </c>
      <c r="D21" s="11" t="str">
        <f>VLOOKUP($B21,'BaseLine Data'!$B9:$AQ21,3,FALSE)</f>
        <v>Gloucester</v>
      </c>
      <c r="E21" s="11">
        <f>VLOOKUP($B21,'BaseLine Data'!$B9:$AQ21,4,FALSE)</f>
        <v>2171</v>
      </c>
      <c r="F21" s="11">
        <f>VLOOKUP($B21,'BaseLine Data'!$B9:$AQ21,6,FALSE)</f>
        <v>2</v>
      </c>
      <c r="G21" s="11">
        <f>VLOOKUP($B21,'BaseLine Data'!$B9:$AQ21,7,FALSE)</f>
        <v>1920</v>
      </c>
      <c r="H21" s="11">
        <f>VLOOKUP($B21,'BaseLine Data'!$B9:$AQ21,13,FALSE)</f>
        <v>2171</v>
      </c>
      <c r="I21" s="11">
        <f>VLOOKUP($B21,'BaseLine Data'!$B9:$AQ21,14,FALSE)</f>
        <v>2424</v>
      </c>
      <c r="J21" s="11">
        <f>VLOOKUP($B21,'BaseLine Data'!$B9:$AQ21,19,FALSE)</f>
        <v>2258</v>
      </c>
      <c r="K21" s="11">
        <f>VLOOKUP($B21,'BaseLine Data'!$B9:$AQ21,20,FALSE)</f>
        <v>235</v>
      </c>
      <c r="L21" s="47" t="e">
        <f>VLOOKUP($B21,'BaseLine Data'!$B9:$AQ21,21,FALSE)</f>
        <v>#DIV/0!</v>
      </c>
      <c r="M21" s="47">
        <f>VLOOKUP($B21,'BaseLine Data'!$B9:$AQ21,22,FALSE)</f>
        <v>0.60554004724071286</v>
      </c>
      <c r="N21" s="47">
        <f>VLOOKUP($B21,'BaseLine Data'!$B9:$AQ21,25,FALSE)</f>
        <v>1.0400736987563335</v>
      </c>
      <c r="O21" s="47">
        <f>VLOOKUP($B21,'BaseLine Data'!$B9:$AQ21,26,FALSE)</f>
        <v>9.6947194719471941E-2</v>
      </c>
      <c r="P21" s="40">
        <f>VLOOKUP($B21,'BaseLine Data'!$B9:$AQ21,27,FALSE)</f>
        <v>148.29</v>
      </c>
      <c r="Q21" s="40">
        <f>VLOOKUP($B21,'BaseLine Data'!$B9:$AQ21,28,FALSE)</f>
        <v>200.89</v>
      </c>
      <c r="R21" s="40">
        <f>VLOOKUP($B21,'BaseLine Data'!$B9:$AQ21,29,FALSE)</f>
        <v>0</v>
      </c>
      <c r="S21" s="40">
        <f>VLOOKUP($B21,'BaseLine Data'!$B9:$AQ21,30,FALSE)</f>
        <v>0</v>
      </c>
      <c r="T21" s="40">
        <f>VLOOKUP($B21,'BaseLine Data'!$B9:$AQ21,32,FALSE)</f>
        <v>19.55</v>
      </c>
      <c r="U21" s="48">
        <f>VLOOKUP($B21,'BaseLine Data'!$B9:$AQ21,33,FALSE)</f>
        <v>65.28</v>
      </c>
      <c r="V21" s="40">
        <f>VLOOKUP($B21,'BaseLine Data'!$B21:$BE33,44,FALSE)</f>
        <v>73.28</v>
      </c>
      <c r="W21" s="40">
        <f>VLOOKUP($B21,'BaseLine Data'!$B21:$BE33,45,FALSE)</f>
        <v>0</v>
      </c>
      <c r="X21" s="40">
        <f>VLOOKUP($B21,'BaseLine Data'!$B21:$BE33,46,FALSE)</f>
        <v>127.61</v>
      </c>
      <c r="Y21" s="40">
        <f>VLOOKUP($B21,'BaseLine Data'!$B21:$BE33,47,FALSE)</f>
        <v>0</v>
      </c>
      <c r="Z21" s="40">
        <f>VLOOKUP($B21,'BaseLine Data'!$B21:$BE33,51,FALSE)</f>
        <v>65.28</v>
      </c>
      <c r="AA21" s="40">
        <f>VLOOKUP($B21,'BaseLine Data'!$B21:$BE33,52,FALSE)</f>
        <v>0</v>
      </c>
      <c r="AB21" s="87"/>
      <c r="AC21" s="40">
        <f>VLOOKUP($B21,'BaseLine Data'!$B21:$BE33,53,FALSE)</f>
        <v>0</v>
      </c>
      <c r="AD21" s="48"/>
      <c r="AE21" s="40">
        <f>VLOOKUP($B21,'BaseLine Data'!$B$9:$AQ38,42,FALSE)</f>
        <v>14</v>
      </c>
    </row>
    <row r="23" spans="1:31">
      <c r="B23" s="39"/>
      <c r="I23" s="38"/>
      <c r="K23" s="37"/>
      <c r="L23" s="35"/>
      <c r="M23" s="37"/>
      <c r="O23" s="35"/>
      <c r="V23" s="35"/>
      <c r="W23" s="35"/>
      <c r="X23" s="35"/>
      <c r="Y23" s="35"/>
      <c r="Z23" s="35"/>
      <c r="AA23" s="35"/>
      <c r="AB23" s="35"/>
      <c r="AC23" s="35"/>
    </row>
    <row r="24" spans="1:31">
      <c r="B24" s="39"/>
      <c r="K24" s="37"/>
      <c r="L24" s="37"/>
      <c r="M24" s="37"/>
    </row>
    <row r="25" spans="1:31" ht="120">
      <c r="B25" s="39"/>
      <c r="K25" s="37"/>
      <c r="L25" s="35"/>
      <c r="M25" s="37"/>
      <c r="V25" s="55" t="str">
        <f t="shared" ref="V25:AC25" si="0">V7</f>
        <v>12 months pre-retrofit electricity source MMBtu</v>
      </c>
      <c r="W25" s="55" t="str">
        <f t="shared" si="0"/>
        <v>12 months pre-retrofit natural gas or propane source MMBtu</v>
      </c>
      <c r="X25" s="55" t="str">
        <f t="shared" si="0"/>
        <v>12 months pre-retrofit oil source MMBtu</v>
      </c>
      <c r="Y25" s="55" t="str">
        <f t="shared" si="0"/>
        <v>12 months pre-retrofit other source MMBtu</v>
      </c>
      <c r="Z25" s="55" t="str">
        <f t="shared" si="0"/>
        <v>12 (or 6) months post-retrofit electricity source MMBtu</v>
      </c>
      <c r="AA25" s="55" t="str">
        <f t="shared" si="0"/>
        <v>12 (or 6) months post-retrofit natural gas or propane source MMBtu</v>
      </c>
      <c r="AB25" s="55" t="str">
        <f t="shared" si="0"/>
        <v>12 months post-retrofit oil source MMBtu</v>
      </c>
      <c r="AC25" s="55" t="str">
        <f t="shared" si="0"/>
        <v>12 (or 6)months pre-retrofit other source MMBtu</v>
      </c>
    </row>
    <row r="26" spans="1:31" ht="30">
      <c r="B26" s="39"/>
      <c r="K26" s="37"/>
      <c r="L26" s="37"/>
      <c r="M26" s="37"/>
      <c r="V26" s="55" t="s">
        <v>160</v>
      </c>
      <c r="W26" s="55" t="s">
        <v>161</v>
      </c>
      <c r="X26" s="55" t="s">
        <v>162</v>
      </c>
      <c r="Y26" s="55" t="s">
        <v>163</v>
      </c>
      <c r="Z26" s="55" t="s">
        <v>160</v>
      </c>
      <c r="AA26" s="55" t="s">
        <v>161</v>
      </c>
      <c r="AB26" s="55" t="s">
        <v>164</v>
      </c>
      <c r="AC26" s="55" t="s">
        <v>163</v>
      </c>
    </row>
    <row r="27" spans="1:31">
      <c r="B27" s="39"/>
      <c r="K27" s="37"/>
      <c r="L27" s="37"/>
      <c r="M27" s="37"/>
      <c r="V27" s="55"/>
      <c r="W27" s="55"/>
      <c r="X27" s="55"/>
      <c r="Y27" s="55"/>
      <c r="Z27" s="55"/>
      <c r="AA27" s="55"/>
      <c r="AB27" s="55"/>
      <c r="AC27" s="55"/>
    </row>
    <row r="28" spans="1:31">
      <c r="V28">
        <f>V9</f>
        <v>24.38</v>
      </c>
      <c r="W28">
        <f>W9</f>
        <v>14.99</v>
      </c>
      <c r="X28">
        <f>X9</f>
        <v>0</v>
      </c>
      <c r="Y28">
        <f>Y9</f>
        <v>171.5</v>
      </c>
    </row>
    <row r="29" spans="1:31">
      <c r="Z29">
        <f>Z9</f>
        <v>21.35</v>
      </c>
      <c r="AA29">
        <f>AA9</f>
        <v>31.05</v>
      </c>
      <c r="AB29">
        <f>AB9</f>
        <v>0</v>
      </c>
      <c r="AC29">
        <f>AC9</f>
        <v>0</v>
      </c>
    </row>
    <row r="31" spans="1:31">
      <c r="V31">
        <f>V10</f>
        <v>100.44</v>
      </c>
      <c r="W31">
        <f>W10</f>
        <v>32.35</v>
      </c>
      <c r="X31">
        <f>X10</f>
        <v>429.06</v>
      </c>
      <c r="Y31">
        <f>Y10</f>
        <v>0</v>
      </c>
    </row>
    <row r="32" spans="1:31">
      <c r="Z32">
        <f>Z10</f>
        <v>130.12</v>
      </c>
      <c r="AA32">
        <f>AA10</f>
        <v>21.36</v>
      </c>
      <c r="AB32">
        <f>AB10</f>
        <v>0</v>
      </c>
      <c r="AC32">
        <f>AC10</f>
        <v>0</v>
      </c>
    </row>
    <row r="34" spans="22:29">
      <c r="V34">
        <f>V11</f>
        <v>89.02</v>
      </c>
      <c r="W34">
        <f>W11</f>
        <v>0</v>
      </c>
      <c r="X34">
        <f>X11</f>
        <v>52.53</v>
      </c>
      <c r="Y34">
        <f>Y11</f>
        <v>46.5</v>
      </c>
    </row>
    <row r="35" spans="22:29">
      <c r="Z35">
        <f>Z11</f>
        <v>120.8</v>
      </c>
      <c r="AA35">
        <f>AA11</f>
        <v>6.14</v>
      </c>
      <c r="AB35">
        <f>AB11</f>
        <v>0</v>
      </c>
      <c r="AC35">
        <f>AC11</f>
        <v>2.79</v>
      </c>
    </row>
    <row r="37" spans="22:29">
      <c r="V37">
        <f>V12</f>
        <v>92.18</v>
      </c>
      <c r="W37">
        <f>W12</f>
        <v>94.54</v>
      </c>
      <c r="X37">
        <f>X12</f>
        <v>0</v>
      </c>
      <c r="Y37">
        <f>Y12</f>
        <v>0</v>
      </c>
    </row>
    <row r="38" spans="22:29">
      <c r="Z38">
        <f>Z12</f>
        <v>75.78</v>
      </c>
      <c r="AA38">
        <f>AA12</f>
        <v>32.35</v>
      </c>
      <c r="AB38">
        <f>AB12</f>
        <v>0</v>
      </c>
      <c r="AC38">
        <f>AC12</f>
        <v>0</v>
      </c>
    </row>
    <row r="40" spans="22:29">
      <c r="V40">
        <f>V13</f>
        <v>143.13999999999999</v>
      </c>
      <c r="W40">
        <f>W13</f>
        <v>0</v>
      </c>
      <c r="X40">
        <f>X13</f>
        <v>182.24</v>
      </c>
      <c r="Y40">
        <f>Y13</f>
        <v>0</v>
      </c>
    </row>
    <row r="41" spans="22:29">
      <c r="Z41">
        <f>Z13</f>
        <v>112.79</v>
      </c>
      <c r="AA41">
        <f>AA13</f>
        <v>27.43</v>
      </c>
      <c r="AB41">
        <f>AB13</f>
        <v>0</v>
      </c>
      <c r="AC41">
        <f>AC13</f>
        <v>0</v>
      </c>
    </row>
    <row r="43" spans="22:29">
      <c r="V43">
        <f>V14</f>
        <v>101.07</v>
      </c>
      <c r="W43">
        <f>W14</f>
        <v>376.82</v>
      </c>
      <c r="X43">
        <f>X14</f>
        <v>0</v>
      </c>
      <c r="Y43">
        <f>Y14</f>
        <v>0</v>
      </c>
    </row>
    <row r="44" spans="22:29">
      <c r="Z44">
        <f>Z14</f>
        <v>161.83000000000001</v>
      </c>
      <c r="AA44">
        <f>AA14</f>
        <v>54.76</v>
      </c>
      <c r="AB44">
        <f>AB14</f>
        <v>0</v>
      </c>
      <c r="AC44">
        <f>AC14</f>
        <v>0</v>
      </c>
    </row>
    <row r="46" spans="22:29">
      <c r="V46">
        <f>V15</f>
        <v>87.08</v>
      </c>
      <c r="W46">
        <f>W15</f>
        <v>127.94</v>
      </c>
      <c r="X46">
        <f>X15</f>
        <v>0</v>
      </c>
      <c r="Y46">
        <f>Y15</f>
        <v>0</v>
      </c>
    </row>
    <row r="47" spans="22:29">
      <c r="Z47">
        <f>Z15</f>
        <v>81.7</v>
      </c>
      <c r="AA47">
        <f>AA15</f>
        <v>43.66</v>
      </c>
      <c r="AB47">
        <f>AB15</f>
        <v>0</v>
      </c>
      <c r="AC47">
        <f>AC15</f>
        <v>0</v>
      </c>
    </row>
    <row r="49" spans="22:29">
      <c r="V49">
        <f>V16</f>
        <v>81.98</v>
      </c>
      <c r="W49">
        <f>W16</f>
        <v>186.47</v>
      </c>
      <c r="X49">
        <f>X16</f>
        <v>0</v>
      </c>
      <c r="Y49">
        <f>Y16</f>
        <v>0</v>
      </c>
    </row>
    <row r="50" spans="22:29">
      <c r="Z50">
        <f>Z16</f>
        <v>70.14</v>
      </c>
      <c r="AA50">
        <f>AA16</f>
        <v>83.55</v>
      </c>
      <c r="AB50">
        <f>AB16</f>
        <v>0</v>
      </c>
      <c r="AC50">
        <f>AC16</f>
        <v>0</v>
      </c>
    </row>
    <row r="52" spans="22:29">
      <c r="V52">
        <f>V17</f>
        <v>50.65</v>
      </c>
      <c r="W52">
        <f>W17</f>
        <v>121.87</v>
      </c>
      <c r="X52">
        <f>X17</f>
        <v>0</v>
      </c>
      <c r="Y52">
        <f>Y17</f>
        <v>0</v>
      </c>
    </row>
    <row r="53" spans="22:29">
      <c r="Z53">
        <f>Z17</f>
        <v>87.74</v>
      </c>
      <c r="AA53">
        <f>AA17</f>
        <v>0</v>
      </c>
      <c r="AB53">
        <f>AB17</f>
        <v>0</v>
      </c>
      <c r="AC53">
        <f>AC17</f>
        <v>0</v>
      </c>
    </row>
    <row r="55" spans="22:29">
      <c r="V55" s="37">
        <f>V18</f>
        <v>64.38</v>
      </c>
      <c r="W55" s="37">
        <f>W18</f>
        <v>103.41</v>
      </c>
      <c r="X55" s="37">
        <f>X18</f>
        <v>0</v>
      </c>
      <c r="Y55" s="37">
        <f>Y18</f>
        <v>0</v>
      </c>
    </row>
    <row r="56" spans="22:29">
      <c r="V56" s="37"/>
      <c r="W56" s="37"/>
      <c r="X56" s="37"/>
      <c r="Y56" s="37"/>
      <c r="Z56" s="37">
        <f>Z18</f>
        <v>38.93</v>
      </c>
      <c r="AA56" s="37">
        <f>AA18</f>
        <v>11.1</v>
      </c>
      <c r="AB56" s="37">
        <f>AB18</f>
        <v>0</v>
      </c>
      <c r="AC56" s="37">
        <f>AC18</f>
        <v>0</v>
      </c>
    </row>
    <row r="57" spans="22:29">
      <c r="V57" s="37"/>
      <c r="W57" s="37"/>
      <c r="X57" s="37"/>
      <c r="Y57" s="37"/>
      <c r="Z57" s="37"/>
      <c r="AA57" s="37"/>
      <c r="AB57" s="37"/>
      <c r="AC57" s="37"/>
    </row>
    <row r="58" spans="22:29">
      <c r="V58" s="37">
        <f>V19</f>
        <v>37.44</v>
      </c>
      <c r="W58" s="37">
        <f>W19</f>
        <v>80.930000000000007</v>
      </c>
      <c r="X58" s="37">
        <f>X19</f>
        <v>0</v>
      </c>
      <c r="Y58" s="37">
        <f>Y19</f>
        <v>0</v>
      </c>
    </row>
    <row r="59" spans="22:29">
      <c r="V59" s="37"/>
      <c r="W59" s="37"/>
      <c r="X59" s="37"/>
      <c r="Y59" s="37"/>
      <c r="Z59" s="37">
        <f>Z19</f>
        <v>20.5</v>
      </c>
      <c r="AA59" s="37">
        <f>AA19</f>
        <v>22.93</v>
      </c>
      <c r="AB59" s="37">
        <f>AB19</f>
        <v>0</v>
      </c>
      <c r="AC59" s="37">
        <f>AC19</f>
        <v>0</v>
      </c>
    </row>
    <row r="60" spans="22:29">
      <c r="V60" s="37"/>
      <c r="W60" s="37"/>
      <c r="X60" s="37"/>
      <c r="Y60" s="37"/>
      <c r="Z60" s="37"/>
      <c r="AA60" s="37"/>
      <c r="AB60" s="37"/>
      <c r="AC60" s="37"/>
    </row>
    <row r="61" spans="22:29">
      <c r="V61" s="37">
        <f>V20</f>
        <v>111.29</v>
      </c>
      <c r="W61" s="37">
        <f>W20</f>
        <v>184.38</v>
      </c>
      <c r="X61" s="37">
        <f>X20</f>
        <v>0</v>
      </c>
      <c r="Y61" s="37">
        <f>Y20</f>
        <v>0</v>
      </c>
    </row>
    <row r="62" spans="22:29">
      <c r="V62" s="37"/>
      <c r="W62" s="37"/>
      <c r="X62" s="37"/>
      <c r="Y62" s="37"/>
      <c r="Z62" s="37">
        <f>Z20</f>
        <v>63.98</v>
      </c>
      <c r="AA62" s="37">
        <f>AA20</f>
        <v>39.26</v>
      </c>
      <c r="AB62" s="37">
        <f>AB20</f>
        <v>0</v>
      </c>
      <c r="AC62" s="37">
        <f>AC20</f>
        <v>0</v>
      </c>
    </row>
    <row r="63" spans="22:29">
      <c r="V63" s="37"/>
      <c r="W63" s="37"/>
      <c r="X63" s="37"/>
      <c r="Y63" s="37"/>
      <c r="Z63" s="37"/>
      <c r="AA63" s="37"/>
      <c r="AB63" s="37"/>
      <c r="AC63" s="37"/>
    </row>
    <row r="64" spans="22:29">
      <c r="V64" s="37">
        <f>V21</f>
        <v>73.28</v>
      </c>
      <c r="W64" s="37">
        <f>W21</f>
        <v>0</v>
      </c>
      <c r="X64" s="37">
        <f>X21</f>
        <v>127.61</v>
      </c>
      <c r="Y64" s="37">
        <f>Y21</f>
        <v>0</v>
      </c>
    </row>
    <row r="65" spans="26:29">
      <c r="Z65" s="37">
        <f>Z21</f>
        <v>65.28</v>
      </c>
      <c r="AA65" s="37">
        <f>AA21</f>
        <v>0</v>
      </c>
      <c r="AB65" s="37">
        <f>AB21</f>
        <v>0</v>
      </c>
      <c r="AC65" s="37">
        <f>AC21</f>
        <v>0</v>
      </c>
    </row>
  </sheetData>
  <dataValidations disablePrompts="1" count="2">
    <dataValidation type="list" allowBlank="1" showInputMessage="1" showErrorMessage="1" sqref="WVB9:WVB21 WLF9:WLF21 WBJ9:WBJ21 VRN9:VRN21 VHR9:VHR21 UXV9:UXV21 UNZ9:UNZ21 UED9:UED21 TUH9:TUH21 TKL9:TKL21 TAP9:TAP21 SQT9:SQT21 SGX9:SGX21 RXB9:RXB21 RNF9:RNF21 RDJ9:RDJ21 QTN9:QTN21 QJR9:QJR21 PZV9:PZV21 PPZ9:PPZ21 PGD9:PGD21 OWH9:OWH21 OML9:OML21 OCP9:OCP21 NST9:NST21 NIX9:NIX21 MZB9:MZB21 MPF9:MPF21 MFJ9:MFJ21 LVN9:LVN21 LLR9:LLR21 LBV9:LBV21 KRZ9:KRZ21 KID9:KID21 JYH9:JYH21 JOL9:JOL21 JEP9:JEP21 IUT9:IUT21 IKX9:IKX21 IBB9:IBB21 HRF9:HRF21 HHJ9:HHJ21 GXN9:GXN21 GNR9:GNR21 GDV9:GDV21 FTZ9:FTZ21 FKD9:FKD21 FAH9:FAH21 EQL9:EQL21 EGP9:EGP21 DWT9:DWT21 DMX9:DMX21 DDB9:DDB21 CTF9:CTF21 CJJ9:CJJ21 BZN9:BZN21 BPR9:BPR21 BFV9:BFV21 AVZ9:AVZ21 AMD9:AMD21 ACH9:ACH21 SL9:SL21 IP9:IP21">
      <formula1>'[1]Project Statistics'!$K$74:$K$79</formula1>
    </dataValidation>
    <dataValidation type="list" allowBlank="1" showInputMessage="1" showErrorMessage="1" sqref="WVC9:WVD21 WLG9:WLH21 WBK9:WBL21 VRO9:VRP21 VHS9:VHT21 UXW9:UXX21 UOA9:UOB21 UEE9:UEF21 TUI9:TUJ21 TKM9:TKN21 TAQ9:TAR21 SQU9:SQV21 SGY9:SGZ21 RXC9:RXD21 RNG9:RNH21 RDK9:RDL21 QTO9:QTP21 QJS9:QJT21 PZW9:PZX21 PQA9:PQB21 PGE9:PGF21 OWI9:OWJ21 OMM9:OMN21 OCQ9:OCR21 NSU9:NSV21 NIY9:NIZ21 MZC9:MZD21 MPG9:MPH21 MFK9:MFL21 LVO9:LVP21 LLS9:LLT21 LBW9:LBX21 KSA9:KSB21 KIE9:KIF21 JYI9:JYJ21 JOM9:JON21 JEQ9:JER21 IUU9:IUV21 IKY9:IKZ21 IBC9:IBD21 HRG9:HRH21 HHK9:HHL21 GXO9:GXP21 GNS9:GNT21 GDW9:GDX21 FUA9:FUB21 FKE9:FKF21 FAI9:FAJ21 EQM9:EQN21 EGQ9:EGR21 DWU9:DWV21 DMY9:DMZ21 DDC9:DDD21 CTG9:CTH21 CJK9:CJL21 BZO9:BZP21 BPS9:BPT21 BFW9:BFX21 AWA9:AWB21 AME9:AMF21 ACI9:ACJ21 SM9:SN21 IQ9:IR21">
      <formula1>'[1]Project Statistics'!$M$74:$M$75</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A7:Z53"/>
  <sheetViews>
    <sheetView topLeftCell="B15" zoomScaleNormal="100" workbookViewId="0">
      <pane xSplit="1" topLeftCell="N1" activePane="topRight" state="frozen"/>
      <selection activeCell="B1" sqref="B1"/>
      <selection pane="topRight" activeCell="Q40" sqref="Q40"/>
    </sheetView>
  </sheetViews>
  <sheetFormatPr defaultRowHeight="15"/>
  <cols>
    <col min="2" max="2" width="11.7109375" customWidth="1"/>
    <col min="3" max="3" width="8.7109375" customWidth="1"/>
    <col min="4" max="4" width="12.7109375" customWidth="1"/>
    <col min="12" max="15" width="11.5703125" bestFit="1" customWidth="1"/>
    <col min="20" max="20" width="11.5703125" bestFit="1" customWidth="1"/>
    <col min="21" max="21" width="11.5703125" customWidth="1"/>
  </cols>
  <sheetData>
    <row r="7" spans="1:23" ht="135.75" thickBot="1">
      <c r="B7" s="1" t="s">
        <v>0</v>
      </c>
      <c r="C7" s="11" t="str">
        <f>VLOOKUP($B7,'BaseLine Data'!$B7:$AQ21,2,FALSE)</f>
        <v>Number of Housing Units</v>
      </c>
      <c r="D7" s="11" t="str">
        <f>VLOOKUP($B7,'BaseLine Data'!$B7:$AQ21,3,FALSE)</f>
        <v>Location</v>
      </c>
      <c r="E7" s="11" t="str">
        <f>VLOOKUP($B7,'BaseLine Data'!$B7:$AQ21,4,FALSE)</f>
        <v>Pre-DER Cond. Floor Area
(sq.ft.)</v>
      </c>
      <c r="F7" s="11" t="str">
        <f>VLOOKUP($B7,'BaseLine Data'!$B7:$AQ21,6,FALSE)</f>
        <v>Stories</v>
      </c>
      <c r="G7" s="11" t="str">
        <f>VLOOKUP($B7,'BaseLine Data'!$B7:$AQ21,7,FALSE)</f>
        <v>Approx. Year Built</v>
      </c>
      <c r="H7" s="11" t="str">
        <f>VLOOKUP($B7,'BaseLine Data'!$B7:$AQ21,13,FALSE)</f>
        <v>Pre-DER Cond. Floor Area
(sq.ft.)</v>
      </c>
      <c r="I7" s="11" t="str">
        <f>VLOOKUP($B7,'BaseLine Data'!$B7:$AQ21,14,FALSE)</f>
        <v>Post-DER Con. Floor Area        (sq.ft.)</v>
      </c>
      <c r="J7" s="11" t="str">
        <f>VLOOKUP($B7,'BaseLine Data'!$B7:$AQ21,19,FALSE)</f>
        <v>Pre-DER   CFM 50</v>
      </c>
      <c r="K7" s="11" t="str">
        <f>VLOOKUP($B7,'BaseLine Data'!$B7:$AQ21,20,FALSE)</f>
        <v>Post-DER CFM 50</v>
      </c>
      <c r="L7" s="11" t="str">
        <f>VLOOKUP($B7,'BaseLine Data'!$B7:$AQ21,21,FALSE)</f>
        <v xml:space="preserve">Pre-DER   ACH 50 </v>
      </c>
      <c r="M7" s="11" t="str">
        <f>VLOOKUP($B7,'BaseLine Data'!$B7:$AQ21,22,FALSE)</f>
        <v xml:space="preserve">Post-DER ACH 50 </v>
      </c>
      <c r="N7" s="11" t="str">
        <f>VLOOKUP($B7,'BaseLine Data'!$B7:$AQ21,25,FALSE)</f>
        <v>Pre-DER CFM/sf Conditioned floor area</v>
      </c>
      <c r="O7" s="11" t="str">
        <f>VLOOKUP($B7,'BaseLine Data'!$B7:$AQ21,26,FALSE)</f>
        <v>Post-DER CFM/sf Conditioned floor area</v>
      </c>
      <c r="P7" s="11" t="str">
        <f>VLOOKUP($B7,'BaseLine Data'!$B7:$AQ21,39,FALSE)</f>
        <v>Weather normalized 12 or 6 mo post-retrofit src MMBtu</v>
      </c>
      <c r="Q7" s="11" t="str">
        <f>VLOOKUP($B7,'BaseLine Data'!$B7:$AQ21,30,FALSE)</f>
        <v>12 months source MMBtu</v>
      </c>
      <c r="R7" s="11" t="str">
        <f>VLOOKUP($B7,'BaseLine Data'!$B7:$AQ21,39,FALSE)</f>
        <v>Weather normalized 12 or 6 mo post-retrofit src MMBtu</v>
      </c>
      <c r="S7" s="11"/>
      <c r="T7" s="11" t="str">
        <f>VLOOKUP($B7,'BaseLine Data'!$B7:$AQ21,33,FALSE)</f>
        <v>6 months source MMBtu</v>
      </c>
      <c r="U7" s="58" t="s">
        <v>103</v>
      </c>
      <c r="W7" s="11" t="str">
        <f>VLOOKUP($B7,'BaseLine Data'!$B$7:$AQ$21,41,FALSE)</f>
        <v>Projected weather normalized 6 mo post-retrofit src MMBtu</v>
      </c>
    </row>
    <row r="8" spans="1:23" ht="90">
      <c r="A8" s="9"/>
      <c r="B8" s="49" t="s">
        <v>23</v>
      </c>
      <c r="C8" s="50"/>
      <c r="D8" s="50"/>
      <c r="E8" s="50"/>
      <c r="F8" s="50"/>
      <c r="G8" s="50"/>
      <c r="H8" s="51"/>
      <c r="I8" s="52"/>
      <c r="J8" s="53"/>
      <c r="K8" s="53"/>
      <c r="L8" s="54"/>
      <c r="M8" s="41"/>
      <c r="N8" s="53"/>
      <c r="O8" s="41"/>
      <c r="P8" s="55" t="s">
        <v>138</v>
      </c>
      <c r="Q8" s="55" t="s">
        <v>42</v>
      </c>
      <c r="R8" s="55" t="s">
        <v>139</v>
      </c>
      <c r="S8" s="55" t="s">
        <v>168</v>
      </c>
      <c r="T8" s="55" t="s">
        <v>42</v>
      </c>
      <c r="U8" s="55" t="s">
        <v>42</v>
      </c>
    </row>
    <row r="9" spans="1:23">
      <c r="A9" s="10" t="s">
        <v>24</v>
      </c>
      <c r="B9" s="11" t="s">
        <v>25</v>
      </c>
      <c r="C9" s="11">
        <f>VLOOKUP($B9,'BaseLine Data'!$B9:$AQ21,2,FALSE)</f>
        <v>1</v>
      </c>
      <c r="D9" s="11" t="str">
        <f>VLOOKUP($B9,'BaseLine Data'!$B9:$AQ21,3,FALSE)</f>
        <v>Belchertown</v>
      </c>
      <c r="E9" s="11">
        <f>VLOOKUP($B9,'BaseLine Data'!$B9:$AQ21,4,FALSE)</f>
        <v>1352</v>
      </c>
      <c r="F9" s="11">
        <f>VLOOKUP($B9,'BaseLine Data'!$B9:$AQ21,6,FALSE)</f>
        <v>1.5</v>
      </c>
      <c r="G9" s="11">
        <f>VLOOKUP($B9,'BaseLine Data'!$B9:$AQ21,7,FALSE)</f>
        <v>1760</v>
      </c>
      <c r="H9" s="11">
        <f>VLOOKUP($B9,'BaseLine Data'!$B9:$AQ21,13,FALSE)</f>
        <v>1435</v>
      </c>
      <c r="I9" s="11">
        <f>VLOOKUP($B9,'BaseLine Data'!$B9:$AQ21,14,FALSE)</f>
        <v>1907</v>
      </c>
      <c r="J9" s="11">
        <f>VLOOKUP($B9,'BaseLine Data'!$B9:$AQ21,19,FALSE)</f>
        <v>9079</v>
      </c>
      <c r="K9" s="11">
        <f>VLOOKUP($B9,'BaseLine Data'!$B9:$AQ21,20,FALSE)</f>
        <v>468</v>
      </c>
      <c r="L9" s="47">
        <f>VLOOKUP($B9,'BaseLine Data'!$B9:$AQ21,21,FALSE)</f>
        <v>57.656646909398809</v>
      </c>
      <c r="M9" s="47">
        <f>VLOOKUP($B9,'BaseLine Data'!$B9:$AQ21,22,FALSE)</f>
        <v>1.8755009350788139</v>
      </c>
      <c r="N9" s="47">
        <f>VLOOKUP($B9,'BaseLine Data'!$B9:$AQ21,25,FALSE)</f>
        <v>6.3268292682926832</v>
      </c>
      <c r="O9" s="47">
        <f>VLOOKUP($B9,'BaseLine Data'!$B9:$AQ21,26,FALSE)</f>
        <v>0.2454116413214473</v>
      </c>
      <c r="P9" s="40">
        <f>VLOOKUP($B9,'BaseLine Data'!$B$9:$AQ$21,39,FALSE)/C9</f>
        <v>52.72</v>
      </c>
      <c r="Q9" s="40">
        <f>VLOOKUP($B9,'BaseLine Data'!$B9:$AQ21,30,FALSE)/C9</f>
        <v>52.4</v>
      </c>
      <c r="R9" s="40">
        <v>0</v>
      </c>
      <c r="S9" s="40">
        <v>0</v>
      </c>
      <c r="T9" s="48">
        <f>VLOOKUP($B9,'BaseLine Data'!$B9:$AQ21,33,FALSE)/C9</f>
        <v>22.29</v>
      </c>
      <c r="U9" s="59">
        <v>0</v>
      </c>
      <c r="W9" s="11">
        <f>VLOOKUP($B9,'BaseLine Data'!$B$7:$AQ$21,41,FALSE)</f>
        <v>0</v>
      </c>
    </row>
    <row r="10" spans="1:23" ht="30">
      <c r="A10" s="10" t="s">
        <v>24</v>
      </c>
      <c r="B10" s="17" t="s">
        <v>26</v>
      </c>
      <c r="C10" s="11">
        <f>VLOOKUP($B10,'BaseLine Data'!$B9:$AQ21,2,FALSE)</f>
        <v>2</v>
      </c>
      <c r="D10" s="11" t="s">
        <v>52</v>
      </c>
      <c r="E10" s="11">
        <f>VLOOKUP($B10,'BaseLine Data'!$B9:$AQ21,4,FALSE)</f>
        <v>2728</v>
      </c>
      <c r="F10" s="11">
        <f>VLOOKUP($B10,'BaseLine Data'!$B9:$AQ21,6,FALSE)</f>
        <v>3</v>
      </c>
      <c r="G10" s="11">
        <f>VLOOKUP($B10,'BaseLine Data'!$B9:$AQ21,7,FALSE)</f>
        <v>1925</v>
      </c>
      <c r="H10" s="11">
        <f>VLOOKUP($B10,'BaseLine Data'!$B9:$AQ21,13,FALSE)</f>
        <v>3417</v>
      </c>
      <c r="I10" s="11">
        <f>VLOOKUP($B10,'BaseLine Data'!$B9:$AQ21,14,FALSE)</f>
        <v>4768</v>
      </c>
      <c r="J10" s="11">
        <f>VLOOKUP($B10,'BaseLine Data'!$B9:$AQ21,19,FALSE)</f>
        <v>5700</v>
      </c>
      <c r="K10" s="11">
        <f>VLOOKUP($B10,'BaseLine Data'!$B9:$AQ21,20,FALSE)</f>
        <v>590</v>
      </c>
      <c r="L10" s="47">
        <f>VLOOKUP($B10,'BaseLine Data'!$B9:$AQ21,21,FALSE)</f>
        <v>9.2687950566426363</v>
      </c>
      <c r="M10" s="47">
        <f>VLOOKUP($B10,'BaseLine Data'!$B9:$AQ21,22,FALSE)</f>
        <v>0.74204502578292031</v>
      </c>
      <c r="N10" s="47">
        <f>VLOOKUP($B10,'BaseLine Data'!$B9:$AQ21,25,FALSE)</f>
        <v>1.6681299385425812</v>
      </c>
      <c r="O10" s="47">
        <f>VLOOKUP($B10,'BaseLine Data'!$B9:$AQ21,26,FALSE)</f>
        <v>0.12374161073825503</v>
      </c>
      <c r="P10" s="40">
        <f>VLOOKUP($B10,'BaseLine Data'!$B$9:$AQ$21,39,FALSE)/C10</f>
        <v>76.644999999999996</v>
      </c>
      <c r="Q10" s="40">
        <f>VLOOKUP($B10,'BaseLine Data'!$B9:$AQ21,30,FALSE)/C10</f>
        <v>75.739999999999995</v>
      </c>
      <c r="R10" s="40">
        <v>0</v>
      </c>
      <c r="S10" s="40">
        <v>0</v>
      </c>
      <c r="T10" s="48">
        <f>VLOOKUP($B10,'BaseLine Data'!$B9:$AQ21,33,FALSE)/C10</f>
        <v>38.695</v>
      </c>
      <c r="U10" s="59">
        <v>0</v>
      </c>
      <c r="W10" s="11">
        <f>VLOOKUP($B10,'BaseLine Data'!$B$7:$AQ$21,41,FALSE)</f>
        <v>0</v>
      </c>
    </row>
    <row r="11" spans="1:23">
      <c r="A11" s="10" t="s">
        <v>24</v>
      </c>
      <c r="B11" s="11" t="s">
        <v>27</v>
      </c>
      <c r="C11" s="11">
        <f>VLOOKUP($B11,'BaseLine Data'!$B9:$AQ21,2,FALSE)</f>
        <v>1</v>
      </c>
      <c r="D11" s="11" t="str">
        <f>VLOOKUP($B11,'BaseLine Data'!$B9:$AQ21,3,FALSE)</f>
        <v>Millbury</v>
      </c>
      <c r="E11" s="11">
        <f>VLOOKUP($B11,'BaseLine Data'!$B9:$AQ21,4,FALSE)</f>
        <v>1100</v>
      </c>
      <c r="F11" s="11">
        <f>VLOOKUP($B11,'BaseLine Data'!$B9:$AQ21,6,FALSE)</f>
        <v>1.5</v>
      </c>
      <c r="G11" s="11">
        <f>VLOOKUP($B11,'BaseLine Data'!$B9:$AQ21,7,FALSE)</f>
        <v>1953</v>
      </c>
      <c r="H11" s="11">
        <f>VLOOKUP($B11,'BaseLine Data'!$B9:$AQ21,13,FALSE)</f>
        <v>1868</v>
      </c>
      <c r="I11" s="11">
        <f>VLOOKUP($B11,'BaseLine Data'!$B9:$AQ21,14,FALSE)</f>
        <v>1868</v>
      </c>
      <c r="J11" s="11">
        <f>VLOOKUP($B11,'BaseLine Data'!$B9:$AQ21,19,FALSE)</f>
        <v>2860</v>
      </c>
      <c r="K11" s="11">
        <f>VLOOKUP($B11,'BaseLine Data'!$B9:$AQ21,20,FALSE)</f>
        <v>402</v>
      </c>
      <c r="L11" s="47">
        <f>VLOOKUP($B11,'BaseLine Data'!$B9:$AQ21,21,FALSE)</f>
        <v>10.4</v>
      </c>
      <c r="M11" s="47">
        <f>VLOOKUP($B11,'BaseLine Data'!$B9:$AQ21,22,FALSE)</f>
        <v>1.4188235294117648</v>
      </c>
      <c r="N11" s="47">
        <f>VLOOKUP($B11,'BaseLine Data'!$B9:$AQ21,25,FALSE)</f>
        <v>1.5310492505353319</v>
      </c>
      <c r="O11" s="47">
        <f>VLOOKUP($B11,'BaseLine Data'!$B9:$AQ21,26,FALSE)</f>
        <v>0.21520342612419699</v>
      </c>
      <c r="P11" s="40">
        <f>VLOOKUP($B11,'BaseLine Data'!$B$9:$AQ$21,39,FALSE)/C11</f>
        <v>140.01</v>
      </c>
      <c r="Q11" s="40">
        <f>VLOOKUP($B11,'BaseLine Data'!$B9:$AQ21,30,FALSE)/C11</f>
        <v>129.72999999999999</v>
      </c>
      <c r="R11" s="40">
        <v>0</v>
      </c>
      <c r="S11" s="40">
        <v>0</v>
      </c>
      <c r="T11" s="48">
        <f>VLOOKUP($B11,'BaseLine Data'!$B9:$AQ21,33,FALSE)/C11</f>
        <v>62.9</v>
      </c>
      <c r="U11" s="59">
        <v>0</v>
      </c>
      <c r="W11" s="11">
        <f>VLOOKUP($B11,'BaseLine Data'!$B$7:$AQ$21,41,FALSE)</f>
        <v>0</v>
      </c>
    </row>
    <row r="12" spans="1:23">
      <c r="A12" s="10" t="s">
        <v>24</v>
      </c>
      <c r="B12" s="11" t="s">
        <v>28</v>
      </c>
      <c r="C12" s="11">
        <f>VLOOKUP($B12,'BaseLine Data'!$B9:$AQ21,2,FALSE)</f>
        <v>1</v>
      </c>
      <c r="D12" s="11" t="str">
        <f>VLOOKUP($B12,'BaseLine Data'!$B9:$AQ21,3,FALSE)</f>
        <v>Milton</v>
      </c>
      <c r="E12" s="11">
        <f>VLOOKUP($B12,'BaseLine Data'!$B9:$AQ21,4,FALSE)</f>
        <v>1600</v>
      </c>
      <c r="F12" s="11">
        <f>VLOOKUP($B12,'BaseLine Data'!$B9:$AQ21,6,FALSE)</f>
        <v>2</v>
      </c>
      <c r="G12" s="11">
        <f>VLOOKUP($B12,'BaseLine Data'!$B9:$AQ21,7,FALSE)</f>
        <v>1960</v>
      </c>
      <c r="H12" s="11">
        <f>VLOOKUP($B12,'BaseLine Data'!$B9:$AQ21,13,FALSE)</f>
        <v>2368</v>
      </c>
      <c r="I12" s="11">
        <f>VLOOKUP($B12,'BaseLine Data'!$B9:$AQ21,14,FALSE)</f>
        <v>2368</v>
      </c>
      <c r="J12" s="11">
        <f>VLOOKUP($B12,'BaseLine Data'!$B9:$AQ21,19,FALSE)</f>
        <v>1695</v>
      </c>
      <c r="K12" s="11">
        <f>VLOOKUP($B12,'BaseLine Data'!$B9:$AQ21,20,FALSE)</f>
        <v>584</v>
      </c>
      <c r="L12" s="47">
        <f>VLOOKUP($B12,'BaseLine Data'!$B9:$AQ21,21,FALSE)</f>
        <v>4.5285337703049304</v>
      </c>
      <c r="M12" s="47">
        <f>VLOOKUP($B12,'BaseLine Data'!$B9:$AQ21,22,FALSE)</f>
        <v>1.4326835012429675</v>
      </c>
      <c r="N12" s="47">
        <f>VLOOKUP($B12,'BaseLine Data'!$B9:$AQ21,25,FALSE)</f>
        <v>0.71579391891891897</v>
      </c>
      <c r="O12" s="47">
        <f>VLOOKUP($B12,'BaseLine Data'!$B9:$AQ21,26,FALSE)</f>
        <v>0.24662162162162163</v>
      </c>
      <c r="P12" s="40">
        <f>VLOOKUP($B12,'BaseLine Data'!$B$9:$AQ$21,39,FALSE)/C12</f>
        <v>110.14</v>
      </c>
      <c r="Q12" s="40">
        <f>VLOOKUP($B12,'BaseLine Data'!$B9:$AQ21,30,FALSE)/C12</f>
        <v>108.13</v>
      </c>
      <c r="R12" s="40">
        <v>0</v>
      </c>
      <c r="S12" s="40">
        <v>0</v>
      </c>
      <c r="T12" s="48">
        <f>VLOOKUP($B12,'BaseLine Data'!$B9:$AQ21,33,FALSE)/C12</f>
        <v>50.54</v>
      </c>
      <c r="U12" s="59">
        <v>0</v>
      </c>
      <c r="W12" s="11">
        <f>VLOOKUP($B12,'BaseLine Data'!$B$7:$AQ$21,41,FALSE)</f>
        <v>0</v>
      </c>
    </row>
    <row r="13" spans="1:23">
      <c r="A13" s="10" t="s">
        <v>24</v>
      </c>
      <c r="B13" s="11" t="s">
        <v>29</v>
      </c>
      <c r="C13" s="11">
        <f>VLOOKUP($B13,'BaseLine Data'!$B9:$AQ21,2,FALSE)</f>
        <v>1</v>
      </c>
      <c r="D13" s="11" t="str">
        <f>VLOOKUP($B13,'BaseLine Data'!$B9:$AY21,3,FALSE)</f>
        <v>Quincy</v>
      </c>
      <c r="E13" s="11">
        <f>VLOOKUP($B13,'BaseLine Data'!$B9:$AY21,4,FALSE)</f>
        <v>1808</v>
      </c>
      <c r="F13" s="11">
        <f>VLOOKUP($B13,'BaseLine Data'!$B9:$AQ21,6,FALSE)</f>
        <v>1.5</v>
      </c>
      <c r="G13" s="11">
        <f>VLOOKUP($B13,'BaseLine Data'!$B9:$AQ21,7,FALSE)</f>
        <v>1905</v>
      </c>
      <c r="H13" s="11">
        <f>VLOOKUP($B13,'BaseLine Data'!$B9:$AQ21,13,FALSE)</f>
        <v>3484</v>
      </c>
      <c r="I13" s="11">
        <f>VLOOKUP($B13,'BaseLine Data'!$B9:$AQ21,14,FALSE)</f>
        <v>4576</v>
      </c>
      <c r="J13" s="11">
        <f>VLOOKUP($B13,'BaseLine Data'!$B9:$AQ21,19,FALSE)</f>
        <v>5050</v>
      </c>
      <c r="K13" s="11">
        <f>VLOOKUP($B13,'BaseLine Data'!$B9:$AQ21,20,FALSE)</f>
        <v>762</v>
      </c>
      <c r="L13" s="47">
        <f>VLOOKUP($B13,'BaseLine Data'!$B9:$AQ21,21,FALSE)</f>
        <v>18.53</v>
      </c>
      <c r="M13" s="47">
        <f>VLOOKUP($B13,'BaseLine Data'!$B9:$AQ21,22,FALSE)</f>
        <v>1.2579100863919002</v>
      </c>
      <c r="N13" s="47">
        <f>VLOOKUP($B13,'BaseLine Data'!$B9:$AQ21,25,FALSE)</f>
        <v>1.4494833524684272</v>
      </c>
      <c r="O13" s="47">
        <f>VLOOKUP($B13,'BaseLine Data'!$B9:$AQ21,26,FALSE)</f>
        <v>0.16652097902097901</v>
      </c>
      <c r="P13" s="40">
        <f>VLOOKUP($B13,'BaseLine Data'!$B$9:$AQ$21,39,FALSE)/C13</f>
        <v>145.41999999999999</v>
      </c>
      <c r="Q13" s="40">
        <f>VLOOKUP($B13,'BaseLine Data'!$B9:$AQ21,30,FALSE)/C13</f>
        <v>140.22</v>
      </c>
      <c r="R13" s="40">
        <v>0</v>
      </c>
      <c r="S13" s="40">
        <v>0</v>
      </c>
      <c r="T13" s="48">
        <f>VLOOKUP($B13,'BaseLine Data'!$B9:$AQ21,33,FALSE)/C13</f>
        <v>69.75</v>
      </c>
      <c r="U13" s="59">
        <v>0</v>
      </c>
      <c r="W13" s="11">
        <f>VLOOKUP($B13,'BaseLine Data'!$B$7:$AQ$21,41,FALSE)</f>
        <v>0</v>
      </c>
    </row>
    <row r="14" spans="1:23" ht="30">
      <c r="A14" s="10" t="s">
        <v>24</v>
      </c>
      <c r="B14" s="11" t="s">
        <v>30</v>
      </c>
      <c r="C14" s="11">
        <f>VLOOKUP($B14,'BaseLine Data'!$B9:$AQ21,2,FALSE)</f>
        <v>2</v>
      </c>
      <c r="D14" s="11" t="s">
        <v>51</v>
      </c>
      <c r="E14" s="11">
        <f>VLOOKUP($B14,'BaseLine Data'!$B9:$AQ21,4,FALSE)</f>
        <v>2112</v>
      </c>
      <c r="F14" s="11">
        <f>VLOOKUP($B14,'BaseLine Data'!$B9:$AQ21,6,FALSE)</f>
        <v>2</v>
      </c>
      <c r="G14" s="11">
        <f>VLOOKUP($B14,'BaseLine Data'!$B9:$AQ21,7,FALSE)</f>
        <v>1910</v>
      </c>
      <c r="H14" s="11">
        <f>VLOOKUP($B14,'BaseLine Data'!$B9:$AQ21,13,FALSE)</f>
        <v>2502</v>
      </c>
      <c r="I14" s="11">
        <f>VLOOKUP($B14,'BaseLine Data'!$B9:$AQ21,14,FALSE)</f>
        <v>3627</v>
      </c>
      <c r="J14" s="11">
        <f>VLOOKUP($B14,'BaseLine Data'!$B9:$AQ21,19,FALSE)</f>
        <v>8730</v>
      </c>
      <c r="K14" s="11">
        <f>VLOOKUP($B14,'BaseLine Data'!$B9:$AQ21,20,FALSE)</f>
        <v>3586</v>
      </c>
      <c r="L14" s="47">
        <f>VLOOKUP($B14,'BaseLine Data'!$B9:$AQ21,21,FALSE)</f>
        <v>25.986009822890313</v>
      </c>
      <c r="M14" s="47">
        <f>VLOOKUP($B14,'BaseLine Data'!$B9:$AQ21,22,FALSE)</f>
        <v>7.2571505666486775</v>
      </c>
      <c r="N14" s="47">
        <f>VLOOKUP($B14,'BaseLine Data'!$B9:$AQ21,25,FALSE)</f>
        <v>3.4892086330935252</v>
      </c>
      <c r="O14" s="47">
        <f>VLOOKUP($B14,'BaseLine Data'!$B9:$AQ21,26,FALSE)</f>
        <v>0.98869589192169838</v>
      </c>
      <c r="P14" s="40">
        <f>VLOOKUP($B14,'BaseLine Data'!$B$9:$AQ$21,39,FALSE)/C14</f>
        <v>109.745</v>
      </c>
      <c r="Q14" s="40">
        <f>VLOOKUP($B14,'BaseLine Data'!$B9:$AQ21,30,FALSE)/C14</f>
        <v>108.29</v>
      </c>
      <c r="R14" s="40">
        <v>0</v>
      </c>
      <c r="S14" s="40">
        <v>0</v>
      </c>
      <c r="T14" s="48">
        <f>VLOOKUP($B14,'BaseLine Data'!$B9:$AQ21,33,FALSE)/C14</f>
        <v>45.86</v>
      </c>
      <c r="U14" s="59">
        <v>0</v>
      </c>
      <c r="W14" s="11">
        <f>VLOOKUP($B14,'BaseLine Data'!$B$7:$AQ$21,41,FALSE)</f>
        <v>0</v>
      </c>
    </row>
    <row r="15" spans="1:23">
      <c r="A15" s="10" t="s">
        <v>24</v>
      </c>
      <c r="B15" s="11" t="s">
        <v>32</v>
      </c>
      <c r="C15" s="11">
        <f>VLOOKUP($B15,'BaseLine Data'!$B9:$AQ21,2,FALSE)</f>
        <v>1</v>
      </c>
      <c r="D15" s="11" t="str">
        <f>VLOOKUP($B15,'BaseLine Data'!$B9:$AQ21,3,FALSE)</f>
        <v>Newton</v>
      </c>
      <c r="E15" s="11">
        <f>VLOOKUP($B15,'BaseLine Data'!$B9:$AQ21,4,FALSE)</f>
        <v>1724</v>
      </c>
      <c r="F15" s="11">
        <f>VLOOKUP($B15,'BaseLine Data'!$B9:$AQ21,6,FALSE)</f>
        <v>1</v>
      </c>
      <c r="G15" s="11">
        <f>VLOOKUP($B15,'BaseLine Data'!$B9:$AQ21,7,FALSE)</f>
        <v>1930</v>
      </c>
      <c r="H15" s="11">
        <f>VLOOKUP($B15,'BaseLine Data'!$B9:$AQ21,13,FALSE)</f>
        <v>1815</v>
      </c>
      <c r="I15" s="11">
        <f>VLOOKUP($B15,'BaseLine Data'!$B9:$AQ21,14,FALSE)</f>
        <v>2199</v>
      </c>
      <c r="J15" s="11">
        <f>VLOOKUP($B15,'BaseLine Data'!$B9:$AQ21,19,FALSE)</f>
        <v>3199</v>
      </c>
      <c r="K15" s="11">
        <f>VLOOKUP($B15,'BaseLine Data'!$B9:$AQ21,20,FALSE)</f>
        <v>1299</v>
      </c>
      <c r="L15" s="47">
        <f>VLOOKUP($B15,'BaseLine Data'!$B9:$AQ21,21,FALSE)</f>
        <v>10.192767245499441</v>
      </c>
      <c r="M15" s="47">
        <f>VLOOKUP($B15,'BaseLine Data'!$B9:$AQ21,22,FALSE)</f>
        <v>3.558254200146092</v>
      </c>
      <c r="N15" s="47">
        <f>VLOOKUP($B15,'BaseLine Data'!$B9:$AQ21,25,FALSE)</f>
        <v>1.7625344352617081</v>
      </c>
      <c r="O15" s="47">
        <f>VLOOKUP($B15,'BaseLine Data'!$B9:$AQ21,26,FALSE)</f>
        <v>0.59072305593451568</v>
      </c>
      <c r="P15" s="40">
        <f>VLOOKUP($B15,'BaseLine Data'!$B$9:$AQ$21,39,FALSE)/C15</f>
        <v>127.83</v>
      </c>
      <c r="Q15" s="40">
        <f>VLOOKUP($B15,'BaseLine Data'!$B9:$AQ21,30,FALSE)/C15</f>
        <v>125.36</v>
      </c>
      <c r="R15" s="40">
        <v>0</v>
      </c>
      <c r="S15" s="40">
        <v>0</v>
      </c>
      <c r="T15" s="48">
        <f>VLOOKUP($B15,'BaseLine Data'!$B9:$AQ21,33,FALSE)/C15</f>
        <v>55.42</v>
      </c>
      <c r="U15" s="59">
        <v>0</v>
      </c>
      <c r="W15" s="11">
        <f>VLOOKUP($B15,'BaseLine Data'!$B$7:$AQ$21,41,FALSE)</f>
        <v>0</v>
      </c>
    </row>
    <row r="16" spans="1:23" ht="30">
      <c r="A16" s="10" t="s">
        <v>24</v>
      </c>
      <c r="B16" s="11" t="s">
        <v>33</v>
      </c>
      <c r="C16" s="11">
        <f>VLOOKUP($B16,'BaseLine Data'!$B9:$AQ21,2,FALSE)</f>
        <v>3</v>
      </c>
      <c r="D16" s="11" t="s">
        <v>53</v>
      </c>
      <c r="E16" s="11">
        <f>VLOOKUP($B16,'BaseLine Data'!$B9:$AQ21,4,FALSE)</f>
        <v>3885</v>
      </c>
      <c r="F16" s="11">
        <f>VLOOKUP($B16,'BaseLine Data'!$B9:$AQ21,6,FALSE)</f>
        <v>3</v>
      </c>
      <c r="G16" s="11">
        <f>VLOOKUP($B16,'BaseLine Data'!$B9:$AQ21,7,FALSE)</f>
        <v>1907</v>
      </c>
      <c r="H16" s="11">
        <f>VLOOKUP($B16,'BaseLine Data'!$B9:$AQ21,13,FALSE)</f>
        <v>3885</v>
      </c>
      <c r="I16" s="11">
        <f>VLOOKUP($B16,'BaseLine Data'!$B9:$AQ21,14,FALSE)</f>
        <v>3885</v>
      </c>
      <c r="J16" s="11">
        <f>VLOOKUP($B16,'BaseLine Data'!$B9:$AQ21,19,FALSE)</f>
        <v>7729</v>
      </c>
      <c r="K16" s="11">
        <f>VLOOKUP($B16,'BaseLine Data'!$B9:$AQ21,20,FALSE)</f>
        <v>1802</v>
      </c>
      <c r="L16" s="47">
        <f>VLOOKUP($B16,'BaseLine Data'!$B9:$AQ21,21,FALSE)</f>
        <v>10.889494199971821</v>
      </c>
      <c r="M16" s="47">
        <f>VLOOKUP($B16,'BaseLine Data'!$B9:$AQ21,22,FALSE)</f>
        <v>2.5388625369839852</v>
      </c>
      <c r="N16" s="47">
        <f>VLOOKUP($B16,'BaseLine Data'!$B9:$AQ21,25,FALSE)</f>
        <v>1.9894465894465894</v>
      </c>
      <c r="O16" s="47">
        <f>VLOOKUP($B16,'BaseLine Data'!$B9:$AQ21,26,FALSE)</f>
        <v>0.46383526383526386</v>
      </c>
      <c r="P16" s="40">
        <f>VLOOKUP($B16,'BaseLine Data'!$B$9:$AQ$21,39,FALSE)/C16</f>
        <v>55.396666666666668</v>
      </c>
      <c r="Q16" s="40">
        <f>VLOOKUP($B16,'BaseLine Data'!$B9:$AQ21,30,FALSE)/C16</f>
        <v>51.233333333333327</v>
      </c>
      <c r="R16" s="40">
        <v>0</v>
      </c>
      <c r="S16" s="40">
        <v>0</v>
      </c>
      <c r="T16" s="48">
        <f>VLOOKUP($B16,'BaseLine Data'!$B9:$AQ21,33,FALSE)/C16</f>
        <v>25.173333333333332</v>
      </c>
      <c r="U16" s="59">
        <v>0</v>
      </c>
      <c r="W16" s="11">
        <f>VLOOKUP($B16,'BaseLine Data'!$B$7:$AQ$21,41,FALSE)</f>
        <v>0</v>
      </c>
    </row>
    <row r="17" spans="1:23" ht="30">
      <c r="A17" s="10" t="s">
        <v>24</v>
      </c>
      <c r="B17" s="11" t="s">
        <v>34</v>
      </c>
      <c r="C17" s="11">
        <f>VLOOKUP($B17,'BaseLine Data'!$B9:$AQ21,2,FALSE)</f>
        <v>1</v>
      </c>
      <c r="D17" s="11" t="str">
        <f>VLOOKUP($B17,'BaseLine Data'!$B9:$AQ21,3,FALSE)</f>
        <v>Northampton</v>
      </c>
      <c r="E17" s="11">
        <f>VLOOKUP($B17,'BaseLine Data'!$B9:$AQ21,4,FALSE)</f>
        <v>2032</v>
      </c>
      <c r="F17" s="11">
        <f>VLOOKUP($B17,'BaseLine Data'!$B9:$AQ21,6,FALSE)</f>
        <v>1</v>
      </c>
      <c r="G17" s="11">
        <f>VLOOKUP($B17,'BaseLine Data'!$B9:$AQ21,7,FALSE)</f>
        <v>1859</v>
      </c>
      <c r="H17" s="11">
        <f>VLOOKUP($B17,'BaseLine Data'!$B9:$AQ21,13,FALSE)</f>
        <v>2032</v>
      </c>
      <c r="I17" s="11">
        <f>VLOOKUP($B17,'BaseLine Data'!$B9:$AQ21,14,FALSE)</f>
        <v>2747</v>
      </c>
      <c r="J17" s="11">
        <f>VLOOKUP($B17,'BaseLine Data'!$B9:$AQ21,19,FALSE)</f>
        <v>6155</v>
      </c>
      <c r="K17" s="11">
        <f>VLOOKUP($B17,'BaseLine Data'!$B9:$AQ21,20,FALSE)</f>
        <v>473</v>
      </c>
      <c r="L17" s="47">
        <f>VLOOKUP($B17,'BaseLine Data'!$B9:$AQ21,21,FALSE)</f>
        <v>0</v>
      </c>
      <c r="M17" s="47">
        <f>VLOOKUP($B17,'BaseLine Data'!$B9:$AQ21,22,FALSE)</f>
        <v>0.81966266173752311</v>
      </c>
      <c r="N17" s="47">
        <f>VLOOKUP($B17,'BaseLine Data'!$B9:$AQ21,25,FALSE)</f>
        <v>3.0290354330708662</v>
      </c>
      <c r="O17" s="47">
        <f>VLOOKUP($B17,'BaseLine Data'!$B9:$AQ21,26,FALSE)</f>
        <v>0.17218784128139789</v>
      </c>
      <c r="P17" s="40">
        <f>VLOOKUP($B17,'BaseLine Data'!$B$9:$AQ$21,39,FALSE)/C17</f>
        <v>93.19</v>
      </c>
      <c r="Q17" s="40">
        <f>VLOOKUP($B17,'BaseLine Data'!$B9:$AQ21,30,FALSE)/C17</f>
        <v>87.74</v>
      </c>
      <c r="R17" s="40">
        <v>0</v>
      </c>
      <c r="S17" s="40">
        <v>0</v>
      </c>
      <c r="T17" s="48">
        <f>VLOOKUP($B17,'BaseLine Data'!$B9:$AQ21,33,FALSE)/C17</f>
        <v>41.35</v>
      </c>
      <c r="U17" s="59">
        <v>0</v>
      </c>
      <c r="W17" s="11">
        <f>VLOOKUP($B17,'BaseLine Data'!$B$7:$AQ$21,41,FALSE)</f>
        <v>0</v>
      </c>
    </row>
    <row r="18" spans="1:23" ht="90">
      <c r="A18" s="10" t="s">
        <v>24</v>
      </c>
      <c r="B18" s="11" t="s">
        <v>35</v>
      </c>
      <c r="C18" s="11">
        <f>VLOOKUP($B18,'BaseLine Data'!$B9:$AQ21,2,FALSE)</f>
        <v>1</v>
      </c>
      <c r="D18" s="11" t="str">
        <f>VLOOKUP($B18,'BaseLine Data'!$B9:$AQ21,3,FALSE)</f>
        <v>Lancaster</v>
      </c>
      <c r="E18" s="11">
        <f>VLOOKUP($B18,'BaseLine Data'!$B9:$AQ21,4,FALSE)</f>
        <v>908</v>
      </c>
      <c r="F18" s="11">
        <f>VLOOKUP($B18,'BaseLine Data'!$B9:$AQ21,6,FALSE)</f>
        <v>2</v>
      </c>
      <c r="G18" s="11">
        <f>VLOOKUP($B18,'BaseLine Data'!$B9:$AQ21,7,FALSE)</f>
        <v>1900</v>
      </c>
      <c r="H18" s="11">
        <f>VLOOKUP($B18,'BaseLine Data'!$B9:$AQ21,13,FALSE)</f>
        <v>980</v>
      </c>
      <c r="I18" s="11">
        <f>VLOOKUP($B18,'BaseLine Data'!$B9:$AQ21,14,FALSE)</f>
        <v>1440</v>
      </c>
      <c r="J18" s="11">
        <f>VLOOKUP($B18,'BaseLine Data'!$B9:$AQ21,19,FALSE)</f>
        <v>4254</v>
      </c>
      <c r="K18" s="11">
        <f>VLOOKUP($B18,'BaseLine Data'!$B9:$AQ21,20,FALSE)</f>
        <v>293</v>
      </c>
      <c r="L18" s="47">
        <f>VLOOKUP($B18,'BaseLine Data'!$B9:$AQ21,21,FALSE)</f>
        <v>36.050847457627121</v>
      </c>
      <c r="M18" s="47">
        <f>VLOOKUP($B18,'BaseLine Data'!$B9:$AQ21,22,FALSE)</f>
        <v>1.4250972762645915</v>
      </c>
      <c r="N18" s="47">
        <f>VLOOKUP($B18,'BaseLine Data'!$B9:$AQ21,25,FALSE)</f>
        <v>4.3408163265306126</v>
      </c>
      <c r="O18" s="47">
        <f>VLOOKUP($B18,'BaseLine Data'!$B9:$AQ21,26,FALSE)</f>
        <v>0.20347222222222222</v>
      </c>
      <c r="P18" s="40">
        <f>VLOOKUP($B18,'BaseLine Data'!$B9:$AQ21,29,FALSE)/C18</f>
        <v>0</v>
      </c>
      <c r="Q18" s="40">
        <f>VLOOKUP($B18,'BaseLine Data'!$B9:$AQ21,30,FALSE)/C18</f>
        <v>0</v>
      </c>
      <c r="R18" s="40">
        <f>2* VLOOKUP($B18,'BaseLine Data'!$B$9:$AQ$21,39,FALSE)/C18</f>
        <v>101.56</v>
      </c>
      <c r="S18" s="40">
        <f xml:space="preserve"> (VLOOKUP($B18,'BaseLine Data'!$B$9:$AQ$21,39,FALSE)+VLOOKUP($B18,'BaseLine Data'!$B$9:$AQ$21,41,FALSE))/C18</f>
        <v>102.91</v>
      </c>
      <c r="T18" s="48">
        <f>VLOOKUP($B18,'BaseLine Data'!$B9:$AQ21,33,FALSE)/C18</f>
        <v>50.03</v>
      </c>
      <c r="U18" s="59">
        <f>T18</f>
        <v>50.03</v>
      </c>
      <c r="W18" s="11">
        <f>VLOOKUP($B18,'BaseLine Data'!$B$7:$AQ$21,41,FALSE)</f>
        <v>52.13</v>
      </c>
    </row>
    <row r="19" spans="1:23">
      <c r="A19" s="10" t="s">
        <v>31</v>
      </c>
      <c r="B19" s="11" t="s">
        <v>36</v>
      </c>
      <c r="C19" s="11">
        <f>VLOOKUP($B19,'BaseLine Data'!$B9:$AQ21,2,FALSE)</f>
        <v>1</v>
      </c>
      <c r="D19" s="11" t="str">
        <f>VLOOKUP($B19,'BaseLine Data'!$B9:$AQ21,3,FALSE)</f>
        <v>Brookline</v>
      </c>
      <c r="E19" s="11">
        <f>VLOOKUP($B19,'BaseLine Data'!$B9:$AQ21,4,FALSE)</f>
        <v>2284</v>
      </c>
      <c r="F19" s="11">
        <f>VLOOKUP($B19,'BaseLine Data'!$B9:$AQ21,6,FALSE)</f>
        <v>3</v>
      </c>
      <c r="G19" s="11">
        <f>VLOOKUP($B19,'BaseLine Data'!$B9:$AQ21,7,FALSE)</f>
        <v>1899</v>
      </c>
      <c r="H19" s="11">
        <f>VLOOKUP($B19,'BaseLine Data'!$B9:$AQ21,13,FALSE)</f>
        <v>3078</v>
      </c>
      <c r="I19" s="11">
        <f>VLOOKUP($B19,'BaseLine Data'!$B9:$AQ21,14,FALSE)</f>
        <v>3174</v>
      </c>
      <c r="J19" s="11">
        <f>VLOOKUP($B19,'BaseLine Data'!$B9:$AQ21,19,FALSE)</f>
        <v>1640</v>
      </c>
      <c r="K19" s="11">
        <f>VLOOKUP($B19,'BaseLine Data'!$B9:$AQ21,20,FALSE)</f>
        <v>655</v>
      </c>
      <c r="L19" s="47">
        <f>VLOOKUP($B19,'BaseLine Data'!$B9:$AQ21,21,FALSE)</f>
        <v>3.7575896437163481</v>
      </c>
      <c r="M19" s="47">
        <f>VLOOKUP($B19,'BaseLine Data'!$B9:$AQ21,22,FALSE)</f>
        <v>1.5007446442891512</v>
      </c>
      <c r="N19" s="47">
        <f>VLOOKUP($B19,'BaseLine Data'!$B9:$AQ21,25,FALSE)</f>
        <v>0.53281351526965559</v>
      </c>
      <c r="O19" s="47">
        <f>VLOOKUP($B19,'BaseLine Data'!$B9:$AQ21,26,FALSE)</f>
        <v>0.20636420919974796</v>
      </c>
      <c r="P19" s="40">
        <f>VLOOKUP($B19,'BaseLine Data'!$B9:$AQ21,29,FALSE)/C19</f>
        <v>0</v>
      </c>
      <c r="Q19" s="40">
        <f>VLOOKUP($B19,'BaseLine Data'!$B9:$AQ21,30,FALSE)/C19</f>
        <v>0</v>
      </c>
      <c r="R19" s="40">
        <f>2* VLOOKUP($B19,'BaseLine Data'!$B$9:$AQ$21,39,FALSE)/C19</f>
        <v>94.1</v>
      </c>
      <c r="S19" s="40">
        <f xml:space="preserve"> (VLOOKUP($B19,'BaseLine Data'!$B$9:$AQ$21,39,FALSE)+VLOOKUP($B19,'BaseLine Data'!$B$9:$AQ$21,41,FALSE))/C19</f>
        <v>98.44</v>
      </c>
      <c r="T19" s="48">
        <f>VLOOKUP($B19,'BaseLine Data'!$B9:$AQ21,33,FALSE)/C19</f>
        <v>43.43</v>
      </c>
      <c r="U19" s="59">
        <f>T19</f>
        <v>43.43</v>
      </c>
      <c r="W19" s="11">
        <f>VLOOKUP($B19,'BaseLine Data'!$B$7:$AQ$21,41,FALSE)</f>
        <v>51.39</v>
      </c>
    </row>
    <row r="20" spans="1:23">
      <c r="A20" s="10" t="s">
        <v>24</v>
      </c>
      <c r="B20" s="11" t="s">
        <v>37</v>
      </c>
      <c r="C20" s="11">
        <f>VLOOKUP($B20,'BaseLine Data'!$B9:$AQ21,2,FALSE)</f>
        <v>1</v>
      </c>
      <c r="D20" s="11" t="str">
        <f>VLOOKUP($B20,'BaseLine Data'!$B9:$AQ21,3,FALSE)</f>
        <v>Westford</v>
      </c>
      <c r="E20" s="11">
        <f>VLOOKUP($B20,'BaseLine Data'!$B9:$AQ21,4,FALSE)</f>
        <v>2906</v>
      </c>
      <c r="F20" s="11">
        <f>VLOOKUP($B20,'BaseLine Data'!$B9:$AQ21,6,FALSE)</f>
        <v>2</v>
      </c>
      <c r="G20" s="11">
        <f>VLOOKUP($B20,'BaseLine Data'!$B9:$AQ21,7,FALSE)</f>
        <v>1993</v>
      </c>
      <c r="H20" s="11">
        <f>VLOOKUP($B20,'BaseLine Data'!$B9:$AQ21,13,FALSE)</f>
        <v>2906</v>
      </c>
      <c r="I20" s="11">
        <f>VLOOKUP($B20,'BaseLine Data'!$B9:$AQ21,14,FALSE)</f>
        <v>3955</v>
      </c>
      <c r="J20" s="11">
        <f>VLOOKUP($B20,'BaseLine Data'!$B9:$AQ21,19,FALSE)</f>
        <v>2592</v>
      </c>
      <c r="K20" s="11">
        <f>VLOOKUP($B20,'BaseLine Data'!$B9:$AQ21,20,FALSE)</f>
        <v>930</v>
      </c>
      <c r="L20" s="47">
        <f>VLOOKUP($B20,'BaseLine Data'!$B9:$AQ21,21,FALSE)</f>
        <v>4.8259169614596908</v>
      </c>
      <c r="M20" s="47">
        <f>VLOOKUP($B20,'BaseLine Data'!$B9:$AQ21,22,FALSE)</f>
        <v>1.2546374367622262</v>
      </c>
      <c r="N20" s="47">
        <f>VLOOKUP($B20,'BaseLine Data'!$B9:$AQ21,25,FALSE)</f>
        <v>0.89194769442532695</v>
      </c>
      <c r="O20" s="47">
        <f>VLOOKUP($B20,'BaseLine Data'!$B9:$AQ21,26,FALSE)</f>
        <v>0.23514538558786346</v>
      </c>
      <c r="P20" s="40">
        <f>VLOOKUP($B20,'BaseLine Data'!$B9:$AQ21,29,FALSE)/C20</f>
        <v>0</v>
      </c>
      <c r="Q20" s="40">
        <f>VLOOKUP($B20,'BaseLine Data'!$B9:$AQ21,30,FALSE)/C20</f>
        <v>0</v>
      </c>
      <c r="R20" s="40">
        <f>2* VLOOKUP($B20,'BaseLine Data'!$B$9:$AQ$21,39,FALSE)/C20</f>
        <v>213.48</v>
      </c>
      <c r="S20" s="40">
        <f xml:space="preserve"> (VLOOKUP($B20,'BaseLine Data'!$B$9:$AQ$21,39,FALSE)+VLOOKUP($B20,'BaseLine Data'!$B$9:$AQ$21,41,FALSE))/C20</f>
        <v>221.92000000000002</v>
      </c>
      <c r="T20" s="48">
        <f>VLOOKUP($B20,'BaseLine Data'!$B9:$AQ21,33,FALSE)/C20</f>
        <v>103.25</v>
      </c>
      <c r="U20" s="59">
        <f>T20</f>
        <v>103.25</v>
      </c>
      <c r="W20" s="11">
        <f>VLOOKUP($B20,'BaseLine Data'!$B$7:$AQ$21,41,FALSE)</f>
        <v>115.18</v>
      </c>
    </row>
    <row r="21" spans="1:23" ht="30">
      <c r="A21" s="10" t="s">
        <v>24</v>
      </c>
      <c r="B21" s="11" t="s">
        <v>38</v>
      </c>
      <c r="C21" s="11">
        <f>VLOOKUP($B21,'BaseLine Data'!$B9:$AQ21,2,FALSE)</f>
        <v>1</v>
      </c>
      <c r="D21" s="11" t="str">
        <f>VLOOKUP($B21,'BaseLine Data'!$B9:$AQ21,3,FALSE)</f>
        <v>Gloucester</v>
      </c>
      <c r="E21" s="11">
        <f>VLOOKUP($B21,'BaseLine Data'!$B9:$AQ21,4,FALSE)</f>
        <v>2171</v>
      </c>
      <c r="F21" s="11">
        <f>VLOOKUP($B21,'BaseLine Data'!$B9:$AQ21,6,FALSE)</f>
        <v>2</v>
      </c>
      <c r="G21" s="11">
        <f>VLOOKUP($B21,'BaseLine Data'!$B9:$AQ21,7,FALSE)</f>
        <v>1920</v>
      </c>
      <c r="H21" s="11">
        <f>VLOOKUP($B21,'BaseLine Data'!$B9:$AQ21,13,FALSE)</f>
        <v>2171</v>
      </c>
      <c r="I21" s="11">
        <f>VLOOKUP($B21,'BaseLine Data'!$B9:$AQ21,14,FALSE)</f>
        <v>2424</v>
      </c>
      <c r="J21" s="11">
        <f>VLOOKUP($B21,'BaseLine Data'!$B9:$AQ21,19,FALSE)</f>
        <v>2258</v>
      </c>
      <c r="K21" s="11">
        <f>VLOOKUP($B21,'BaseLine Data'!$B9:$AQ21,20,FALSE)</f>
        <v>235</v>
      </c>
      <c r="L21" s="47" t="e">
        <f>VLOOKUP($B21,'BaseLine Data'!$B9:$AQ21,21,FALSE)</f>
        <v>#DIV/0!</v>
      </c>
      <c r="M21" s="47">
        <f>VLOOKUP($B21,'BaseLine Data'!$B9:$AQ21,22,FALSE)</f>
        <v>0.60554004724071286</v>
      </c>
      <c r="N21" s="47">
        <f>VLOOKUP($B21,'BaseLine Data'!$B9:$AQ21,25,FALSE)</f>
        <v>1.0400736987563335</v>
      </c>
      <c r="O21" s="47">
        <f>VLOOKUP($B21,'BaseLine Data'!$B9:$AQ21,26,FALSE)</f>
        <v>9.6947194719471941E-2</v>
      </c>
      <c r="P21" s="40">
        <f>VLOOKUP($B21,'BaseLine Data'!$B9:$AQ21,29,FALSE)/C21</f>
        <v>0</v>
      </c>
      <c r="Q21" s="40">
        <f>VLOOKUP($B21,'BaseLine Data'!$B9:$AQ21,30,FALSE)/C21</f>
        <v>0</v>
      </c>
      <c r="R21" s="40">
        <f>2* VLOOKUP($B21,'BaseLine Data'!$B$9:$AQ$21,39,FALSE)/C21</f>
        <v>138.38</v>
      </c>
      <c r="S21" s="40">
        <f xml:space="preserve"> (VLOOKUP($B21,'BaseLine Data'!$B$9:$AQ$21,39,FALSE)+VLOOKUP($B21,'BaseLine Data'!$B$9:$AQ$21,41,FALSE))/C21</f>
        <v>144.93</v>
      </c>
      <c r="T21" s="48">
        <f>VLOOKUP($B21,'BaseLine Data'!$B9:$AQ21,33,FALSE)/C21</f>
        <v>65.28</v>
      </c>
      <c r="U21" s="59">
        <f>T21</f>
        <v>65.28</v>
      </c>
      <c r="W21" s="11">
        <f>VLOOKUP($B21,'BaseLine Data'!$B$7:$AQ$21,41,FALSE)</f>
        <v>75.739999999999995</v>
      </c>
    </row>
    <row r="23" spans="1:23">
      <c r="B23" s="39"/>
      <c r="I23" s="38"/>
      <c r="K23" s="37"/>
      <c r="L23" s="35"/>
      <c r="M23" s="37"/>
      <c r="O23" s="35"/>
      <c r="R23" t="s">
        <v>71</v>
      </c>
      <c r="T23">
        <f>AVERAGEA(T9:T15,T17:T21)</f>
        <v>54.066250000000004</v>
      </c>
    </row>
    <row r="24" spans="1:23">
      <c r="B24" s="39"/>
      <c r="K24" s="37"/>
      <c r="L24" s="37"/>
      <c r="M24" s="37"/>
      <c r="R24" t="s">
        <v>72</v>
      </c>
      <c r="T24">
        <f>STDEVA(T9:T15,T17:T21)</f>
        <v>20.197983149202148</v>
      </c>
    </row>
    <row r="25" spans="1:23">
      <c r="B25" s="39"/>
      <c r="K25" s="37"/>
      <c r="L25" s="35"/>
      <c r="M25" s="37"/>
    </row>
    <row r="26" spans="1:23">
      <c r="B26" s="39"/>
      <c r="K26" s="37"/>
      <c r="L26" s="37"/>
      <c r="M26" s="37"/>
      <c r="P26">
        <f>AVERAGEA(P9:P17)</f>
        <v>101.23296296296296</v>
      </c>
      <c r="Q26">
        <f>AVERAGEA(Q9:Q17)</f>
        <v>97.649259259259267</v>
      </c>
    </row>
    <row r="27" spans="1:23">
      <c r="P27">
        <f>MAX(P9:P18)</f>
        <v>145.41999999999999</v>
      </c>
      <c r="Q27">
        <f>MAX(Q9:Q18)</f>
        <v>140.22</v>
      </c>
    </row>
    <row r="28" spans="1:23">
      <c r="P28">
        <f>MIN(P9:P17)</f>
        <v>52.72</v>
      </c>
      <c r="Q28">
        <f>MIN(Q9:Q17)</f>
        <v>51.233333333333327</v>
      </c>
    </row>
    <row r="53" spans="26:26">
      <c r="Z53" t="s">
        <v>194</v>
      </c>
    </row>
  </sheetData>
  <sortState ref="B9:AB21">
    <sortCondition ref="W9:W21"/>
  </sortState>
  <dataValidations disablePrompts="1" count="2">
    <dataValidation type="list" allowBlank="1" showInputMessage="1" showErrorMessage="1" sqref="WUS9:WUT21 IG9:IH21 SC9:SD21 ABY9:ABZ21 ALU9:ALV21 AVQ9:AVR21 BFM9:BFN21 BPI9:BPJ21 BZE9:BZF21 CJA9:CJB21 CSW9:CSX21 DCS9:DCT21 DMO9:DMP21 DWK9:DWL21 EGG9:EGH21 EQC9:EQD21 EZY9:EZZ21 FJU9:FJV21 FTQ9:FTR21 GDM9:GDN21 GNI9:GNJ21 GXE9:GXF21 HHA9:HHB21 HQW9:HQX21 IAS9:IAT21 IKO9:IKP21 IUK9:IUL21 JEG9:JEH21 JOC9:JOD21 JXY9:JXZ21 KHU9:KHV21 KRQ9:KRR21 LBM9:LBN21 LLI9:LLJ21 LVE9:LVF21 MFA9:MFB21 MOW9:MOX21 MYS9:MYT21 NIO9:NIP21 NSK9:NSL21 OCG9:OCH21 OMC9:OMD21 OVY9:OVZ21 PFU9:PFV21 PPQ9:PPR21 PZM9:PZN21 QJI9:QJJ21 QTE9:QTF21 RDA9:RDB21 RMW9:RMX21 RWS9:RWT21 SGO9:SGP21 SQK9:SQL21 TAG9:TAH21 TKC9:TKD21 TTY9:TTZ21 UDU9:UDV21 UNQ9:UNR21 UXM9:UXN21 VHI9:VHJ21 VRE9:VRF21 WBA9:WBB21 WKW9:WKX21">
      <formula1>'[1]Project Statistics'!$M$74:$M$75</formula1>
    </dataValidation>
    <dataValidation type="list" allowBlank="1" showInputMessage="1" showErrorMessage="1" sqref="WUR9:WUR21 IF9:IF21 SB9:SB21 ABX9:ABX21 ALT9:ALT21 AVP9:AVP21 BFL9:BFL21 BPH9:BPH21 BZD9:BZD21 CIZ9:CIZ21 CSV9:CSV21 DCR9:DCR21 DMN9:DMN21 DWJ9:DWJ21 EGF9:EGF21 EQB9:EQB21 EZX9:EZX21 FJT9:FJT21 FTP9:FTP21 GDL9:GDL21 GNH9:GNH21 GXD9:GXD21 HGZ9:HGZ21 HQV9:HQV21 IAR9:IAR21 IKN9:IKN21 IUJ9:IUJ21 JEF9:JEF21 JOB9:JOB21 JXX9:JXX21 KHT9:KHT21 KRP9:KRP21 LBL9:LBL21 LLH9:LLH21 LVD9:LVD21 MEZ9:MEZ21 MOV9:MOV21 MYR9:MYR21 NIN9:NIN21 NSJ9:NSJ21 OCF9:OCF21 OMB9:OMB21 OVX9:OVX21 PFT9:PFT21 PPP9:PPP21 PZL9:PZL21 QJH9:QJH21 QTD9:QTD21 RCZ9:RCZ21 RMV9:RMV21 RWR9:RWR21 SGN9:SGN21 SQJ9:SQJ21 TAF9:TAF21 TKB9:TKB21 TTX9:TTX21 UDT9:UDT21 UNP9:UNP21 UXL9:UXL21 VHH9:VHH21 VRD9:VRD21 WAZ9:WAZ21 WKV9:WKV21">
      <formula1>'[1]Project Statistics'!$K$74:$K$79</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dimension ref="A7:AE55"/>
  <sheetViews>
    <sheetView topLeftCell="B21" zoomScale="80" zoomScaleNormal="80" workbookViewId="0">
      <pane xSplit="1" topLeftCell="F1" activePane="topRight" state="frozen"/>
      <selection activeCell="B9" sqref="B9:X21"/>
      <selection pane="topRight" activeCell="W55" sqref="W55"/>
    </sheetView>
  </sheetViews>
  <sheetFormatPr defaultRowHeight="15"/>
  <cols>
    <col min="2" max="2" width="11.7109375" customWidth="1"/>
    <col min="3" max="3" width="8.7109375" customWidth="1"/>
    <col min="4" max="4" width="12.7109375" customWidth="1"/>
    <col min="12" max="15" width="11.5703125" bestFit="1" customWidth="1"/>
    <col min="22" max="22" width="11.5703125" bestFit="1" customWidth="1"/>
  </cols>
  <sheetData>
    <row r="7" spans="1:31" ht="165.75" thickBot="1">
      <c r="B7" s="1" t="s">
        <v>0</v>
      </c>
      <c r="C7" s="11" t="str">
        <f>VLOOKUP($B7,'BaseLine Data'!$B7:$AQ21,2,FALSE)</f>
        <v>Number of Housing Units</v>
      </c>
      <c r="D7" s="11" t="str">
        <f>VLOOKUP($B7,'BaseLine Data'!$B7:$AQ21,3,FALSE)</f>
        <v>Location</v>
      </c>
      <c r="E7" s="11" t="str">
        <f>VLOOKUP($B7,'BaseLine Data'!$B7:$AQ21,4,FALSE)</f>
        <v>Pre-DER Cond. Floor Area
(sq.ft.)</v>
      </c>
      <c r="F7" s="11" t="str">
        <f>VLOOKUP($B7,'BaseLine Data'!$B7:$AQ21,6,FALSE)</f>
        <v>Stories</v>
      </c>
      <c r="G7" s="11" t="str">
        <f>VLOOKUP($B7,'BaseLine Data'!$B7:$AQ21,7,FALSE)</f>
        <v>Approx. Year Built</v>
      </c>
      <c r="H7" s="11" t="str">
        <f>VLOOKUP($B7,'BaseLine Data'!$B7:$AQ21,13,FALSE)</f>
        <v>Pre-DER Cond. Floor Area
(sq.ft.)</v>
      </c>
      <c r="I7" s="11" t="str">
        <f>VLOOKUP($B7,'BaseLine Data'!$B7:$AQ21,14,FALSE)</f>
        <v>Post-DER Con. Floor Area        (sq.ft.)</v>
      </c>
      <c r="J7" s="11" t="str">
        <f>VLOOKUP($B7,'BaseLine Data'!$B7:$AQ21,19,FALSE)</f>
        <v>Pre-DER   CFM 50</v>
      </c>
      <c r="K7" s="11" t="str">
        <f>VLOOKUP($B7,'BaseLine Data'!$B7:$AQ21,20,FALSE)</f>
        <v>Post-DER CFM 50</v>
      </c>
      <c r="L7" s="11" t="str">
        <f>VLOOKUP($B7,'BaseLine Data'!$B7:$AQ21,21,FALSE)</f>
        <v xml:space="preserve">Pre-DER   ACH 50 </v>
      </c>
      <c r="M7" s="11" t="str">
        <f>VLOOKUP($B7,'BaseLine Data'!$B7:$AQ21,22,FALSE)</f>
        <v xml:space="preserve">Post-DER ACH 50 </v>
      </c>
      <c r="N7" s="11" t="str">
        <f>VLOOKUP($B7,'BaseLine Data'!$B7:$AQ21,25,FALSE)</f>
        <v>Pre-DER CFM/sf Conditioned floor area</v>
      </c>
      <c r="O7" s="11" t="str">
        <f>VLOOKUP($B7,'BaseLine Data'!$B7:$AQ21,26,FALSE)</f>
        <v>Post-DER CFM/sf Conditioned floor area</v>
      </c>
      <c r="P7" s="11" t="str">
        <f>VLOOKUP($B7,'BaseLine Data'!$B7:$AQ21,38,FALSE)</f>
        <v>Weather normalized 12 or 6 mo post-retrofit site MMBtu</v>
      </c>
      <c r="Q7" s="11" t="str">
        <f>VLOOKUP($B7,'BaseLine Data'!$B7:$AQ21,39,FALSE)</f>
        <v>Weather normalized 12 or 6 mo post-retrofit src MMBtu</v>
      </c>
      <c r="R7" s="11" t="s">
        <v>173</v>
      </c>
      <c r="S7" s="11" t="s">
        <v>172</v>
      </c>
      <c r="T7" s="11" t="s">
        <v>140</v>
      </c>
      <c r="U7" s="11" t="s">
        <v>141</v>
      </c>
      <c r="V7" s="11" t="str">
        <f>VLOOKUP($B7,'BaseLine Data'!$B7:$AQ21,32,FALSE)</f>
        <v>6 months site MMBtu</v>
      </c>
      <c r="W7" s="11" t="str">
        <f>VLOOKUP($B7,'BaseLine Data'!$B7:$AQ21,33,FALSE)</f>
        <v>6 months source MMBtu</v>
      </c>
      <c r="X7" s="11" t="s">
        <v>99</v>
      </c>
      <c r="Y7" s="11" t="s">
        <v>43</v>
      </c>
      <c r="Z7" s="55" t="s">
        <v>142</v>
      </c>
      <c r="AA7" s="55" t="s">
        <v>170</v>
      </c>
      <c r="AB7" s="55" t="s">
        <v>174</v>
      </c>
      <c r="AC7" s="55" t="s">
        <v>169</v>
      </c>
      <c r="AD7" s="55"/>
      <c r="AE7" s="11" t="str">
        <f>VLOOKUP($B7,'BaseLine Data'!$B7:$AQ21,42,FALSE)</f>
        <v>Sort Order</v>
      </c>
    </row>
    <row r="8" spans="1:31" ht="71.25">
      <c r="A8" s="9"/>
      <c r="B8" s="49" t="s">
        <v>23</v>
      </c>
      <c r="C8" s="50"/>
      <c r="D8" s="50"/>
      <c r="E8" s="50"/>
      <c r="F8" s="50"/>
      <c r="G8" s="50"/>
      <c r="H8" s="51"/>
      <c r="I8" s="52"/>
      <c r="J8" s="53"/>
      <c r="K8" s="53"/>
      <c r="L8" s="54"/>
      <c r="M8" s="41"/>
      <c r="N8" s="53"/>
      <c r="O8" s="41"/>
    </row>
    <row r="9" spans="1:31" ht="30">
      <c r="A9" s="10" t="s">
        <v>24</v>
      </c>
      <c r="B9" s="11" t="s">
        <v>26</v>
      </c>
      <c r="C9" s="11">
        <f>VLOOKUP($B9,'BaseLine Data'!$B9:$AQ21,2,FALSE)</f>
        <v>2</v>
      </c>
      <c r="D9" s="11" t="s">
        <v>52</v>
      </c>
      <c r="E9" s="11">
        <f>VLOOKUP($B9,'BaseLine Data'!$B9:$AQ21,4,FALSE)</f>
        <v>2728</v>
      </c>
      <c r="F9" s="11">
        <f>VLOOKUP($B9,'BaseLine Data'!$B9:$AQ21,6,FALSE)</f>
        <v>3</v>
      </c>
      <c r="G9" s="11">
        <f>VLOOKUP($B9,'BaseLine Data'!$B9:$AQ21,7,FALSE)</f>
        <v>1925</v>
      </c>
      <c r="H9" s="11">
        <f>VLOOKUP($B9,'BaseLine Data'!$B9:$AQ21,13,FALSE)</f>
        <v>3417</v>
      </c>
      <c r="I9" s="11">
        <f>VLOOKUP($B9,'BaseLine Data'!$B9:$AQ21,14,FALSE)</f>
        <v>4768</v>
      </c>
      <c r="J9" s="11">
        <f>VLOOKUP($B9,'BaseLine Data'!$B9:$AQ21,19,FALSE)</f>
        <v>5700</v>
      </c>
      <c r="K9" s="11">
        <f>VLOOKUP($B9,'BaseLine Data'!$B9:$AQ21,20,FALSE)</f>
        <v>590</v>
      </c>
      <c r="L9" s="47">
        <f>VLOOKUP($B9,'BaseLine Data'!$B9:$AQ21,21,FALSE)</f>
        <v>9.2687950566426363</v>
      </c>
      <c r="M9" s="47">
        <f>VLOOKUP($B9,'BaseLine Data'!$B9:$AQ21,22,FALSE)</f>
        <v>0.74204502578292031</v>
      </c>
      <c r="N9" s="47">
        <f>VLOOKUP($B9,'BaseLine Data'!$B9:$AQ21,25,FALSE)</f>
        <v>1.6681299385425812</v>
      </c>
      <c r="O9" s="47">
        <f>VLOOKUP($B9,'BaseLine Data'!$B9:$AQ21,26,FALSE)</f>
        <v>0.12374161073825503</v>
      </c>
      <c r="P9" s="40">
        <f>VLOOKUP($B9,'BaseLine Data'!$B$9:$AQ$21,38,FALSE)</f>
        <v>61.08</v>
      </c>
      <c r="Q9" s="40">
        <f>VLOOKUP($B9,'BaseLine Data'!$B$9:$AQ$21,39,FALSE)</f>
        <v>153.29</v>
      </c>
      <c r="R9" s="40"/>
      <c r="S9" s="40">
        <v>0</v>
      </c>
      <c r="T9" s="82">
        <f t="shared" ref="T9:T17" si="0">1000*P9/$I9</f>
        <v>12.810402684563758</v>
      </c>
      <c r="U9" s="82">
        <f t="shared" ref="U9:U17" si="1">1000*Q9/I9</f>
        <v>32.149748322147651</v>
      </c>
      <c r="V9" s="40">
        <f>VLOOKUP($B9,'BaseLine Data'!$B9:$AQ21,32,FALSE)</f>
        <v>28.94</v>
      </c>
      <c r="W9" s="48">
        <f>VLOOKUP($B9,'BaseLine Data'!$B9:$AQ21,33,FALSE)</f>
        <v>77.39</v>
      </c>
      <c r="X9" s="37">
        <f t="shared" ref="X9:X21" si="2">1000*V9/$I9</f>
        <v>6.0696308724832218</v>
      </c>
      <c r="Y9" s="37">
        <f>1000*W9/I9</f>
        <v>16.231124161073826</v>
      </c>
      <c r="Z9" s="81">
        <v>0</v>
      </c>
      <c r="AA9" s="81">
        <v>0</v>
      </c>
      <c r="AB9" s="81">
        <v>0</v>
      </c>
      <c r="AC9" s="81">
        <v>0</v>
      </c>
      <c r="AD9" s="81"/>
      <c r="AE9" s="75">
        <v>-3</v>
      </c>
    </row>
    <row r="10" spans="1:31" ht="30">
      <c r="A10" s="10" t="s">
        <v>24</v>
      </c>
      <c r="B10" s="17" t="s">
        <v>30</v>
      </c>
      <c r="C10" s="11">
        <f>VLOOKUP($B10,'BaseLine Data'!$B9:$AQ21,2,FALSE)</f>
        <v>2</v>
      </c>
      <c r="D10" s="11" t="s">
        <v>51</v>
      </c>
      <c r="E10" s="11">
        <f>VLOOKUP($B10,'BaseLine Data'!$B9:$AQ21,4,FALSE)</f>
        <v>2112</v>
      </c>
      <c r="F10" s="11">
        <f>VLOOKUP($B10,'BaseLine Data'!$B9:$AQ21,6,FALSE)</f>
        <v>2</v>
      </c>
      <c r="G10" s="11">
        <f>VLOOKUP($B10,'BaseLine Data'!$B9:$AQ21,7,FALSE)</f>
        <v>1910</v>
      </c>
      <c r="H10" s="11">
        <f>VLOOKUP($B10,'BaseLine Data'!$B9:$AQ21,13,FALSE)</f>
        <v>2502</v>
      </c>
      <c r="I10" s="11">
        <f>VLOOKUP($B10,'BaseLine Data'!$B9:$AQ21,14,FALSE)</f>
        <v>3627</v>
      </c>
      <c r="J10" s="11">
        <f>VLOOKUP($B10,'BaseLine Data'!$B9:$AQ21,19,FALSE)</f>
        <v>8730</v>
      </c>
      <c r="K10" s="11">
        <f>VLOOKUP($B10,'BaseLine Data'!$B9:$AQ21,20,FALSE)</f>
        <v>3586</v>
      </c>
      <c r="L10" s="47">
        <f>VLOOKUP($B10,'BaseLine Data'!$B9:$AQ21,21,FALSE)</f>
        <v>25.986009822890313</v>
      </c>
      <c r="M10" s="47">
        <f>VLOOKUP($B10,'BaseLine Data'!$B9:$AQ21,22,FALSE)</f>
        <v>7.2571505666486775</v>
      </c>
      <c r="N10" s="47">
        <f>VLOOKUP($B10,'BaseLine Data'!$B9:$AQ21,25,FALSE)</f>
        <v>3.4892086330935252</v>
      </c>
      <c r="O10" s="47">
        <f>VLOOKUP($B10,'BaseLine Data'!$B9:$AQ21,26,FALSE)</f>
        <v>0.98869589192169838</v>
      </c>
      <c r="P10" s="40">
        <f>VLOOKUP($B10,'BaseLine Data'!$B$9:$AQ$21,38,FALSE)</f>
        <v>103.53</v>
      </c>
      <c r="Q10" s="40">
        <f>VLOOKUP($B10,'BaseLine Data'!$B$9:$AQ$21,39,FALSE)</f>
        <v>219.49</v>
      </c>
      <c r="R10" s="40"/>
      <c r="S10" s="40">
        <v>0</v>
      </c>
      <c r="T10" s="82">
        <f t="shared" si="0"/>
        <v>28.544251447477254</v>
      </c>
      <c r="U10" s="82">
        <f t="shared" si="1"/>
        <v>60.515577612351805</v>
      </c>
      <c r="V10" s="40">
        <f>VLOOKUP($B10,'BaseLine Data'!$B9:$AQ21,32,FALSE)</f>
        <v>44.42</v>
      </c>
      <c r="W10" s="48">
        <f>VLOOKUP($B10,'BaseLine Data'!$B9:$AQ21,33,FALSE)</f>
        <v>91.72</v>
      </c>
      <c r="X10" s="37">
        <f t="shared" si="2"/>
        <v>12.24703611800386</v>
      </c>
      <c r="Y10" s="37">
        <f>1000*W10/I10</f>
        <v>25.288116901020128</v>
      </c>
      <c r="Z10" s="81">
        <v>0</v>
      </c>
      <c r="AA10" s="81">
        <v>0</v>
      </c>
      <c r="AB10" s="81">
        <v>0</v>
      </c>
      <c r="AC10" s="81">
        <v>0</v>
      </c>
      <c r="AD10" s="81"/>
      <c r="AE10" s="75">
        <v>-2</v>
      </c>
    </row>
    <row r="11" spans="1:31" ht="30">
      <c r="A11" s="10" t="s">
        <v>24</v>
      </c>
      <c r="B11" s="11" t="s">
        <v>33</v>
      </c>
      <c r="C11" s="11">
        <f>VLOOKUP($B11,'BaseLine Data'!$B9:$AQ21,2,FALSE)</f>
        <v>3</v>
      </c>
      <c r="D11" s="11" t="s">
        <v>53</v>
      </c>
      <c r="E11" s="11">
        <f>VLOOKUP($B11,'BaseLine Data'!$B9:$AQ21,4,FALSE)</f>
        <v>3885</v>
      </c>
      <c r="F11" s="11">
        <f>VLOOKUP($B11,'BaseLine Data'!$B9:$AQ21,6,FALSE)</f>
        <v>3</v>
      </c>
      <c r="G11" s="11">
        <f>VLOOKUP($B11,'BaseLine Data'!$B9:$AQ21,7,FALSE)</f>
        <v>1907</v>
      </c>
      <c r="H11" s="11">
        <f>VLOOKUP($B11,'BaseLine Data'!$B9:$AQ21,13,FALSE)</f>
        <v>3885</v>
      </c>
      <c r="I11" s="11">
        <f>VLOOKUP($B11,'BaseLine Data'!$B9:$AQ21,14,FALSE)</f>
        <v>3885</v>
      </c>
      <c r="J11" s="11">
        <f>VLOOKUP($B11,'BaseLine Data'!$B9:$AQ21,19,FALSE)</f>
        <v>7729</v>
      </c>
      <c r="K11" s="11">
        <f>VLOOKUP($B11,'BaseLine Data'!$B9:$AQ21,20,FALSE)</f>
        <v>1802</v>
      </c>
      <c r="L11" s="47">
        <f>VLOOKUP($B11,'BaseLine Data'!$B9:$AQ21,21,FALSE)</f>
        <v>10.889494199971821</v>
      </c>
      <c r="M11" s="47">
        <f>VLOOKUP($B11,'BaseLine Data'!$B9:$AQ21,22,FALSE)</f>
        <v>2.5388625369839852</v>
      </c>
      <c r="N11" s="47">
        <f>VLOOKUP($B11,'BaseLine Data'!$B9:$AQ21,25,FALSE)</f>
        <v>1.9894465894465894</v>
      </c>
      <c r="O11" s="47">
        <f>VLOOKUP($B11,'BaseLine Data'!$B9:$AQ21,26,FALSE)</f>
        <v>0.46383526383526386</v>
      </c>
      <c r="P11" s="40">
        <f>VLOOKUP($B11,'BaseLine Data'!$B$9:$AQ$21,38,FALSE)</f>
        <v>112.73</v>
      </c>
      <c r="Q11" s="40">
        <f>VLOOKUP($B11,'BaseLine Data'!$B$9:$AQ$21,39,FALSE)</f>
        <v>166.19</v>
      </c>
      <c r="R11" s="40"/>
      <c r="S11" s="40">
        <v>0</v>
      </c>
      <c r="T11" s="82">
        <f t="shared" si="0"/>
        <v>29.016731016731018</v>
      </c>
      <c r="U11" s="82">
        <f t="shared" si="1"/>
        <v>42.777348777348777</v>
      </c>
      <c r="V11" s="40">
        <f>VLOOKUP($B11,'BaseLine Data'!$B9:$AQ21,32,FALSE)</f>
        <v>50.35</v>
      </c>
      <c r="W11" s="48">
        <f>VLOOKUP($B11,'BaseLine Data'!$B9:$AQ21,33,FALSE)</f>
        <v>75.52</v>
      </c>
      <c r="X11" s="37">
        <f t="shared" si="2"/>
        <v>12.96010296010296</v>
      </c>
      <c r="Y11" s="37">
        <f>1000*W11/I11</f>
        <v>19.43886743886744</v>
      </c>
      <c r="Z11" s="81">
        <v>0</v>
      </c>
      <c r="AA11" s="81">
        <v>0</v>
      </c>
      <c r="AB11" s="81">
        <v>0</v>
      </c>
      <c r="AC11" s="81">
        <v>0</v>
      </c>
      <c r="AD11" s="81"/>
      <c r="AE11" s="75">
        <v>-1</v>
      </c>
    </row>
    <row r="12" spans="1:31">
      <c r="A12" s="10" t="s">
        <v>24</v>
      </c>
      <c r="B12" s="11" t="s">
        <v>25</v>
      </c>
      <c r="C12" s="11">
        <f>VLOOKUP($B12,'BaseLine Data'!$B9:$AQ21,2,FALSE)</f>
        <v>1</v>
      </c>
      <c r="D12" s="11" t="str">
        <f>VLOOKUP($B12,'BaseLine Data'!$B9:$AQ21,3,FALSE)</f>
        <v>Belchertown</v>
      </c>
      <c r="E12" s="11">
        <f>VLOOKUP($B12,'BaseLine Data'!$B9:$AQ21,4,FALSE)</f>
        <v>1352</v>
      </c>
      <c r="F12" s="11">
        <f>VLOOKUP($B12,'BaseLine Data'!$B9:$AQ21,6,FALSE)</f>
        <v>1.5</v>
      </c>
      <c r="G12" s="11">
        <f>VLOOKUP($B12,'BaseLine Data'!$B9:$AQ21,7,FALSE)</f>
        <v>1760</v>
      </c>
      <c r="H12" s="11">
        <f>VLOOKUP($B12,'BaseLine Data'!$B9:$AQ21,13,FALSE)</f>
        <v>1435</v>
      </c>
      <c r="I12" s="11">
        <f>VLOOKUP($B12,'BaseLine Data'!$B9:$AQ21,14,FALSE)</f>
        <v>1907</v>
      </c>
      <c r="J12" s="11">
        <f>VLOOKUP($B12,'BaseLine Data'!$B9:$AQ21,19,FALSE)</f>
        <v>9079</v>
      </c>
      <c r="K12" s="11">
        <f>VLOOKUP($B12,'BaseLine Data'!$B9:$AQ21,20,FALSE)</f>
        <v>468</v>
      </c>
      <c r="L12" s="47">
        <f>VLOOKUP($B12,'BaseLine Data'!$B9:$AQ21,21,FALSE)</f>
        <v>57.656646909398809</v>
      </c>
      <c r="M12" s="47">
        <f>VLOOKUP($B12,'BaseLine Data'!$B9:$AQ21,22,FALSE)</f>
        <v>1.8755009350788139</v>
      </c>
      <c r="N12" s="47">
        <f>VLOOKUP($B12,'BaseLine Data'!$B9:$AQ21,25,FALSE)</f>
        <v>6.3268292682926832</v>
      </c>
      <c r="O12" s="47">
        <f>VLOOKUP($B12,'BaseLine Data'!$B9:$AQ21,26,FALSE)</f>
        <v>0.2454116413214473</v>
      </c>
      <c r="P12" s="40">
        <f>VLOOKUP($B12,'BaseLine Data'!$B$9:$AQ$21,38,FALSE)</f>
        <v>37.450000000000003</v>
      </c>
      <c r="Q12" s="40">
        <f>VLOOKUP($B12,'BaseLine Data'!$B$9:$AQ$21,39,FALSE)</f>
        <v>52.72</v>
      </c>
      <c r="R12" s="40"/>
      <c r="S12" s="40">
        <v>0</v>
      </c>
      <c r="T12" s="82">
        <f t="shared" si="0"/>
        <v>19.638175144205558</v>
      </c>
      <c r="U12" s="82">
        <f t="shared" si="1"/>
        <v>27.645516518091242</v>
      </c>
      <c r="V12" s="40">
        <f>VLOOKUP($B12,'BaseLine Data'!$B9:$AQ21,32,FALSE)</f>
        <v>15.1</v>
      </c>
      <c r="W12" s="48">
        <f>VLOOKUP($B12,'BaseLine Data'!$B9:$AQ21,33,FALSE)</f>
        <v>22.29</v>
      </c>
      <c r="X12" s="37">
        <f t="shared" si="2"/>
        <v>7.9181961195595179</v>
      </c>
      <c r="Y12" s="37">
        <f>1000*W12/I12</f>
        <v>11.688515993707394</v>
      </c>
      <c r="Z12" s="81">
        <v>0</v>
      </c>
      <c r="AA12" s="81">
        <v>0</v>
      </c>
      <c r="AB12" s="81">
        <v>0</v>
      </c>
      <c r="AC12" s="81">
        <v>0</v>
      </c>
      <c r="AD12" s="81"/>
      <c r="AE12" s="75">
        <f>VLOOKUP($B12,'BaseLine Data'!$B$9:$AQ29,42,FALSE)</f>
        <v>1</v>
      </c>
    </row>
    <row r="13" spans="1:31">
      <c r="A13" s="10" t="s">
        <v>24</v>
      </c>
      <c r="B13" s="11" t="s">
        <v>27</v>
      </c>
      <c r="C13" s="11">
        <f>VLOOKUP($B13,'BaseLine Data'!$B9:$AQ21,2,FALSE)</f>
        <v>1</v>
      </c>
      <c r="D13" s="11" t="str">
        <f>VLOOKUP($B13,'BaseLine Data'!$B9:$AQ21,3,FALSE)</f>
        <v>Millbury</v>
      </c>
      <c r="E13" s="11">
        <f>VLOOKUP($B13,'BaseLine Data'!$B9:$AQ21,4,FALSE)</f>
        <v>1100</v>
      </c>
      <c r="F13" s="11">
        <f>VLOOKUP($B13,'BaseLine Data'!$B9:$AQ21,6,FALSE)</f>
        <v>1.5</v>
      </c>
      <c r="G13" s="11">
        <f>VLOOKUP($B13,'BaseLine Data'!$B9:$AQ21,7,FALSE)</f>
        <v>1953</v>
      </c>
      <c r="H13" s="11">
        <f>VLOOKUP($B13,'BaseLine Data'!$B9:$AQ21,13,FALSE)</f>
        <v>1868</v>
      </c>
      <c r="I13" s="11">
        <f>VLOOKUP($B13,'BaseLine Data'!$B9:$AQ21,14,FALSE)</f>
        <v>1868</v>
      </c>
      <c r="J13" s="11">
        <f>VLOOKUP($B13,'BaseLine Data'!$B9:$AQ21,19,FALSE)</f>
        <v>2860</v>
      </c>
      <c r="K13" s="11">
        <f>VLOOKUP($B13,'BaseLine Data'!$B9:$AQ21,20,FALSE)</f>
        <v>402</v>
      </c>
      <c r="L13" s="47">
        <f>VLOOKUP($B13,'BaseLine Data'!$B9:$AQ21,21,FALSE)</f>
        <v>10.4</v>
      </c>
      <c r="M13" s="47">
        <f>VLOOKUP($B13,'BaseLine Data'!$B9:$AQ21,22,FALSE)</f>
        <v>1.4188235294117648</v>
      </c>
      <c r="N13" s="47">
        <f>VLOOKUP($B13,'BaseLine Data'!$B9:$AQ21,25,FALSE)</f>
        <v>1.5310492505353319</v>
      </c>
      <c r="O13" s="47">
        <f>VLOOKUP($B13,'BaseLine Data'!$B9:$AQ21,26,FALSE)</f>
        <v>0.21520342612419699</v>
      </c>
      <c r="P13" s="40">
        <f>VLOOKUP($B13,'BaseLine Data'!$B$9:$AQ$21,38,FALSE)</f>
        <v>46.16</v>
      </c>
      <c r="Q13" s="40">
        <f>VLOOKUP($B13,'BaseLine Data'!$B$9:$AQ$21,39,FALSE)</f>
        <v>140.01</v>
      </c>
      <c r="R13" s="40"/>
      <c r="S13" s="40">
        <v>0</v>
      </c>
      <c r="T13" s="82">
        <f t="shared" si="0"/>
        <v>24.710920770877944</v>
      </c>
      <c r="U13" s="82">
        <f t="shared" si="1"/>
        <v>74.951820128479653</v>
      </c>
      <c r="V13" s="40">
        <f>VLOOKUP($B13,'BaseLine Data'!$B9:$AQ21,32,FALSE)</f>
        <v>21.26</v>
      </c>
      <c r="W13" s="48">
        <f>VLOOKUP($B13,'BaseLine Data'!$B9:$AQ21,33,FALSE)</f>
        <v>62.9</v>
      </c>
      <c r="X13" s="37">
        <f t="shared" si="2"/>
        <v>11.381156316916488</v>
      </c>
      <c r="Y13" s="37">
        <f>1000*W13/I13</f>
        <v>33.672376873661669</v>
      </c>
      <c r="Z13" s="81">
        <v>0</v>
      </c>
      <c r="AA13" s="81">
        <v>0</v>
      </c>
      <c r="AB13" s="81">
        <v>0</v>
      </c>
      <c r="AC13" s="81">
        <v>0</v>
      </c>
      <c r="AD13" s="81"/>
      <c r="AE13" s="75">
        <f>VLOOKUP($B13,'BaseLine Data'!$B$9:$AQ30,42,FALSE)</f>
        <v>3</v>
      </c>
    </row>
    <row r="14" spans="1:31">
      <c r="A14" s="10" t="s">
        <v>24</v>
      </c>
      <c r="B14" s="11" t="s">
        <v>28</v>
      </c>
      <c r="C14" s="11">
        <f>VLOOKUP($B14,'BaseLine Data'!$B9:$AQ21,2,FALSE)</f>
        <v>1</v>
      </c>
      <c r="D14" s="11" t="str">
        <f>VLOOKUP($B14,'BaseLine Data'!$B9:$AQ21,3,FALSE)</f>
        <v>Milton</v>
      </c>
      <c r="E14" s="11">
        <f>VLOOKUP($B14,'BaseLine Data'!$B9:$AQ21,4,FALSE)</f>
        <v>1600</v>
      </c>
      <c r="F14" s="11">
        <f>VLOOKUP($B14,'BaseLine Data'!$B9:$AQ21,6,FALSE)</f>
        <v>2</v>
      </c>
      <c r="G14" s="11">
        <f>VLOOKUP($B14,'BaseLine Data'!$B9:$AQ21,7,FALSE)</f>
        <v>1960</v>
      </c>
      <c r="H14" s="11">
        <f>VLOOKUP($B14,'BaseLine Data'!$B9:$AQ21,13,FALSE)</f>
        <v>2368</v>
      </c>
      <c r="I14" s="11">
        <f>VLOOKUP($B14,'BaseLine Data'!$B9:$AQ21,14,FALSE)</f>
        <v>2368</v>
      </c>
      <c r="J14" s="11">
        <f>VLOOKUP($B14,'BaseLine Data'!$B9:$AQ21,19,FALSE)</f>
        <v>1695</v>
      </c>
      <c r="K14" s="11">
        <f>VLOOKUP($B14,'BaseLine Data'!$B9:$AQ21,20,FALSE)</f>
        <v>584</v>
      </c>
      <c r="L14" s="47">
        <f>VLOOKUP($B14,'BaseLine Data'!$B9:$AQ21,21,FALSE)</f>
        <v>4.5285337703049304</v>
      </c>
      <c r="M14" s="47">
        <f>VLOOKUP($B14,'BaseLine Data'!$B9:$AQ21,22,FALSE)</f>
        <v>1.4326835012429675</v>
      </c>
      <c r="N14" s="47">
        <f>VLOOKUP($B14,'BaseLine Data'!$B9:$AQ21,25,FALSE)</f>
        <v>0.71579391891891897</v>
      </c>
      <c r="O14" s="47">
        <f>VLOOKUP($B14,'BaseLine Data'!$B9:$AQ21,26,FALSE)</f>
        <v>0.24662162162162163</v>
      </c>
      <c r="P14" s="40">
        <f>VLOOKUP($B14,'BaseLine Data'!$B$9:$AQ$21,38,FALSE)</f>
        <v>55.5</v>
      </c>
      <c r="Q14" s="40">
        <f>VLOOKUP($B14,'BaseLine Data'!$B$9:$AQ$21,39,FALSE)</f>
        <v>110.14</v>
      </c>
      <c r="R14" s="40"/>
      <c r="S14" s="40">
        <v>0</v>
      </c>
      <c r="T14" s="82">
        <f t="shared" si="0"/>
        <v>23.4375</v>
      </c>
      <c r="U14" s="82">
        <f t="shared" si="1"/>
        <v>46.511824324324323</v>
      </c>
      <c r="V14" s="40">
        <f>VLOOKUP($B14,'BaseLine Data'!$B9:$AQ21,32,FALSE)</f>
        <v>26.05</v>
      </c>
      <c r="W14" s="48">
        <f>VLOOKUP($B14,'BaseLine Data'!$B9:$AQ21,33,FALSE)</f>
        <v>50.54</v>
      </c>
      <c r="X14" s="37">
        <f t="shared" si="2"/>
        <v>11.000844594594595</v>
      </c>
      <c r="Y14" s="37">
        <f>1000*W14/I14</f>
        <v>21.342905405405407</v>
      </c>
      <c r="Z14" s="81">
        <v>0</v>
      </c>
      <c r="AA14" s="81">
        <v>0</v>
      </c>
      <c r="AB14" s="81">
        <v>0</v>
      </c>
      <c r="AC14" s="81">
        <v>0</v>
      </c>
      <c r="AD14" s="81"/>
      <c r="AE14" s="75">
        <f>VLOOKUP($B14,'BaseLine Data'!$B$9:$AQ31,42,FALSE)</f>
        <v>4</v>
      </c>
    </row>
    <row r="15" spans="1:31">
      <c r="A15" s="10" t="s">
        <v>24</v>
      </c>
      <c r="B15" s="11" t="s">
        <v>29</v>
      </c>
      <c r="C15" s="11">
        <f>VLOOKUP($B15,'BaseLine Data'!$B9:$AQ21,2,FALSE)</f>
        <v>1</v>
      </c>
      <c r="D15" s="11" t="str">
        <f>VLOOKUP($B15,'BaseLine Data'!$B9:$AY21,3,FALSE)</f>
        <v>Quincy</v>
      </c>
      <c r="E15" s="11">
        <f>VLOOKUP($B15,'BaseLine Data'!$B9:$AY21,4,FALSE)</f>
        <v>1808</v>
      </c>
      <c r="F15" s="11">
        <f>VLOOKUP($B15,'BaseLine Data'!$B9:$AQ21,6,FALSE)</f>
        <v>1.5</v>
      </c>
      <c r="G15" s="11">
        <f>VLOOKUP($B15,'BaseLine Data'!$B9:$AQ21,7,FALSE)</f>
        <v>1905</v>
      </c>
      <c r="H15" s="11">
        <f>VLOOKUP($B15,'BaseLine Data'!$B9:$AQ21,13,FALSE)</f>
        <v>3484</v>
      </c>
      <c r="I15" s="11">
        <f>VLOOKUP($B15,'BaseLine Data'!$B9:$AQ21,14,FALSE)</f>
        <v>4576</v>
      </c>
      <c r="J15" s="11">
        <f>VLOOKUP($B15,'BaseLine Data'!$B9:$AQ21,19,FALSE)</f>
        <v>5050</v>
      </c>
      <c r="K15" s="11">
        <f>VLOOKUP($B15,'BaseLine Data'!$B9:$AQ21,20,FALSE)</f>
        <v>762</v>
      </c>
      <c r="L15" s="47">
        <f>VLOOKUP($B15,'BaseLine Data'!$B9:$AQ21,21,FALSE)</f>
        <v>18.53</v>
      </c>
      <c r="M15" s="47">
        <f>VLOOKUP($B15,'BaseLine Data'!$B9:$AQ21,22,FALSE)</f>
        <v>1.2579100863919002</v>
      </c>
      <c r="N15" s="47">
        <f>VLOOKUP($B15,'BaseLine Data'!$B9:$AQ21,25,FALSE)</f>
        <v>1.4494833524684272</v>
      </c>
      <c r="O15" s="47">
        <f>VLOOKUP($B15,'BaseLine Data'!$B9:$AQ21,26,FALSE)</f>
        <v>0.16652097902097901</v>
      </c>
      <c r="P15" s="40">
        <f>VLOOKUP($B15,'BaseLine Data'!$B$9:$AQ$21,38,FALSE)</f>
        <v>64.930000000000007</v>
      </c>
      <c r="Q15" s="40">
        <f>VLOOKUP($B15,'BaseLine Data'!$B$9:$AQ$21,39,FALSE)</f>
        <v>145.41999999999999</v>
      </c>
      <c r="R15" s="40"/>
      <c r="S15" s="40">
        <v>0</v>
      </c>
      <c r="T15" s="82">
        <f t="shared" si="0"/>
        <v>14.189248251748253</v>
      </c>
      <c r="U15" s="82">
        <f t="shared" si="1"/>
        <v>31.778846153846153</v>
      </c>
      <c r="V15" s="40">
        <f>VLOOKUP($B15,'BaseLine Data'!$B9:$AQ21,32,FALSE)</f>
        <v>29.67</v>
      </c>
      <c r="W15" s="48">
        <f>VLOOKUP($B15,'BaseLine Data'!$B9:$AQ21,33,FALSE)</f>
        <v>69.75</v>
      </c>
      <c r="X15" s="37">
        <f t="shared" si="2"/>
        <v>6.4838286713286717</v>
      </c>
      <c r="Y15" s="37">
        <f>1000*W15/I15</f>
        <v>15.24256993006993</v>
      </c>
      <c r="Z15" s="81">
        <v>0</v>
      </c>
      <c r="AA15" s="81">
        <v>0</v>
      </c>
      <c r="AB15" s="81">
        <v>0</v>
      </c>
      <c r="AC15" s="81">
        <v>0</v>
      </c>
      <c r="AD15" s="81"/>
      <c r="AE15" s="75">
        <f>VLOOKUP($B15,'BaseLine Data'!$B$9:$AQ32,42,FALSE)</f>
        <v>5</v>
      </c>
    </row>
    <row r="16" spans="1:31">
      <c r="A16" s="10" t="s">
        <v>24</v>
      </c>
      <c r="B16" s="11" t="s">
        <v>32</v>
      </c>
      <c r="C16" s="11">
        <f>VLOOKUP($B16,'BaseLine Data'!$B9:$AQ21,2,FALSE)</f>
        <v>1</v>
      </c>
      <c r="D16" s="11" t="str">
        <f>VLOOKUP($B16,'BaseLine Data'!$B9:$AQ21,3,FALSE)</f>
        <v>Newton</v>
      </c>
      <c r="E16" s="11">
        <f>VLOOKUP($B16,'BaseLine Data'!$B9:$AQ21,4,FALSE)</f>
        <v>1724</v>
      </c>
      <c r="F16" s="11">
        <f>VLOOKUP($B16,'BaseLine Data'!$B9:$AQ21,6,FALSE)</f>
        <v>1</v>
      </c>
      <c r="G16" s="11">
        <f>VLOOKUP($B16,'BaseLine Data'!$B9:$AQ21,7,FALSE)</f>
        <v>1930</v>
      </c>
      <c r="H16" s="11">
        <f>VLOOKUP($B16,'BaseLine Data'!$B9:$AQ21,13,FALSE)</f>
        <v>1815</v>
      </c>
      <c r="I16" s="11">
        <f>VLOOKUP($B16,'BaseLine Data'!$B9:$AQ21,14,FALSE)</f>
        <v>2199</v>
      </c>
      <c r="J16" s="11">
        <f>VLOOKUP($B16,'BaseLine Data'!$B9:$AQ21,19,FALSE)</f>
        <v>3199</v>
      </c>
      <c r="K16" s="11">
        <f>VLOOKUP($B16,'BaseLine Data'!$B9:$AQ21,20,FALSE)</f>
        <v>1299</v>
      </c>
      <c r="L16" s="47">
        <f>VLOOKUP($B16,'BaseLine Data'!$B9:$AQ21,21,FALSE)</f>
        <v>10.192767245499441</v>
      </c>
      <c r="M16" s="47">
        <f>VLOOKUP($B16,'BaseLine Data'!$B9:$AQ21,22,FALSE)</f>
        <v>3.558254200146092</v>
      </c>
      <c r="N16" s="47">
        <f>VLOOKUP($B16,'BaseLine Data'!$B9:$AQ21,25,FALSE)</f>
        <v>1.7625344352617081</v>
      </c>
      <c r="O16" s="47">
        <f>VLOOKUP($B16,'BaseLine Data'!$B9:$AQ21,26,FALSE)</f>
        <v>0.59072305593451568</v>
      </c>
      <c r="P16" s="40">
        <f>VLOOKUP($B16,'BaseLine Data'!$B$9:$AQ$21,38,FALSE)</f>
        <v>68.52</v>
      </c>
      <c r="Q16" s="40">
        <f>VLOOKUP($B16,'BaseLine Data'!$B$9:$AQ$21,39,FALSE)</f>
        <v>127.83</v>
      </c>
      <c r="R16" s="40"/>
      <c r="S16" s="40">
        <v>0</v>
      </c>
      <c r="T16" s="82">
        <f t="shared" si="0"/>
        <v>31.159618008185539</v>
      </c>
      <c r="U16" s="82">
        <f t="shared" si="1"/>
        <v>58.130968622100958</v>
      </c>
      <c r="V16" s="40">
        <f>VLOOKUP($B16,'BaseLine Data'!$B9:$AQ21,32,FALSE)</f>
        <v>28.33</v>
      </c>
      <c r="W16" s="48">
        <f>VLOOKUP($B16,'BaseLine Data'!$B9:$AQ21,33,FALSE)</f>
        <v>55.42</v>
      </c>
      <c r="X16" s="37">
        <f t="shared" si="2"/>
        <v>12.8831286948613</v>
      </c>
      <c r="Y16" s="37">
        <f>1000*W16/I16</f>
        <v>25.202364711232377</v>
      </c>
      <c r="Z16" s="81">
        <v>0</v>
      </c>
      <c r="AA16" s="81">
        <v>0</v>
      </c>
      <c r="AB16" s="81">
        <v>0</v>
      </c>
      <c r="AC16" s="81">
        <v>0</v>
      </c>
      <c r="AD16" s="81"/>
      <c r="AE16" s="75">
        <f>VLOOKUP($B16,'BaseLine Data'!$B$9:$AQ33,42,FALSE)</f>
        <v>7</v>
      </c>
    </row>
    <row r="17" spans="1:31" ht="30">
      <c r="A17" s="10" t="s">
        <v>24</v>
      </c>
      <c r="B17" s="11" t="s">
        <v>34</v>
      </c>
      <c r="C17" s="11">
        <f>VLOOKUP($B17,'BaseLine Data'!$B9:$AQ21,2,FALSE)</f>
        <v>1</v>
      </c>
      <c r="D17" s="11" t="str">
        <f>VLOOKUP($B17,'BaseLine Data'!$B9:$AQ21,3,FALSE)</f>
        <v>Northampton</v>
      </c>
      <c r="E17" s="11">
        <f>VLOOKUP($B17,'BaseLine Data'!$B9:$AQ21,4,FALSE)</f>
        <v>2032</v>
      </c>
      <c r="F17" s="11">
        <f>VLOOKUP($B17,'BaseLine Data'!$B9:$AQ21,6,FALSE)</f>
        <v>1</v>
      </c>
      <c r="G17" s="11">
        <f>VLOOKUP($B17,'BaseLine Data'!$B9:$AQ21,7,FALSE)</f>
        <v>1859</v>
      </c>
      <c r="H17" s="11">
        <f>VLOOKUP($B17,'BaseLine Data'!$B9:$AQ21,13,FALSE)</f>
        <v>2032</v>
      </c>
      <c r="I17" s="11">
        <f>VLOOKUP($B17,'BaseLine Data'!$B9:$AQ21,14,FALSE)</f>
        <v>2747</v>
      </c>
      <c r="J17" s="11">
        <f>VLOOKUP($B17,'BaseLine Data'!$B9:$AQ21,19,FALSE)</f>
        <v>6155</v>
      </c>
      <c r="K17" s="11">
        <f>VLOOKUP($B17,'BaseLine Data'!$B9:$AQ21,20,FALSE)</f>
        <v>473</v>
      </c>
      <c r="L17" s="47">
        <f>VLOOKUP($B17,'BaseLine Data'!$B9:$AQ21,21,FALSE)</f>
        <v>0</v>
      </c>
      <c r="M17" s="47">
        <f>VLOOKUP($B17,'BaseLine Data'!$B9:$AQ21,22,FALSE)</f>
        <v>0.81966266173752311</v>
      </c>
      <c r="N17" s="47">
        <f>VLOOKUP($B17,'BaseLine Data'!$B9:$AQ21,25,FALSE)</f>
        <v>3.0290354330708662</v>
      </c>
      <c r="O17" s="47">
        <f>VLOOKUP($B17,'BaseLine Data'!$B9:$AQ21,26,FALSE)</f>
        <v>0.17218784128139789</v>
      </c>
      <c r="P17" s="40">
        <f>VLOOKUP($B17,'BaseLine Data'!$B$9:$AQ$21,38,FALSE)</f>
        <v>27.9</v>
      </c>
      <c r="Q17" s="40">
        <f>VLOOKUP($B17,'BaseLine Data'!$B$9:$AQ$21,39,FALSE)</f>
        <v>93.19</v>
      </c>
      <c r="R17" s="40"/>
      <c r="S17" s="40">
        <v>0</v>
      </c>
      <c r="T17" s="82">
        <f t="shared" si="0"/>
        <v>10.156534401164906</v>
      </c>
      <c r="U17" s="82">
        <f t="shared" si="1"/>
        <v>33.924281033855117</v>
      </c>
      <c r="V17" s="40">
        <f>VLOOKUP($B17,'BaseLine Data'!$B9:$AQ21,32,FALSE)</f>
        <v>12.38</v>
      </c>
      <c r="W17" s="48">
        <f>VLOOKUP($B17,'BaseLine Data'!$B9:$AQ21,33,FALSE)</f>
        <v>41.35</v>
      </c>
      <c r="X17" s="37">
        <f t="shared" si="2"/>
        <v>4.5067346195850018</v>
      </c>
      <c r="Y17" s="37">
        <f>1000*W17/I17</f>
        <v>15.05278485620677</v>
      </c>
      <c r="Z17" s="81">
        <v>0</v>
      </c>
      <c r="AA17" s="81">
        <v>0</v>
      </c>
      <c r="AB17" s="81">
        <v>0</v>
      </c>
      <c r="AC17" s="81">
        <v>0</v>
      </c>
      <c r="AD17" s="81"/>
      <c r="AE17" s="75">
        <f>VLOOKUP($B17,'BaseLine Data'!$B$9:$AQ34,42,FALSE)</f>
        <v>9</v>
      </c>
    </row>
    <row r="18" spans="1:31" ht="90">
      <c r="A18" s="10" t="s">
        <v>24</v>
      </c>
      <c r="B18" s="11" t="s">
        <v>35</v>
      </c>
      <c r="C18" s="11">
        <f>VLOOKUP($B18,'BaseLine Data'!$B9:$AQ21,2,FALSE)</f>
        <v>1</v>
      </c>
      <c r="D18" s="11" t="str">
        <f>VLOOKUP($B18,'BaseLine Data'!$B9:$AQ21,3,FALSE)</f>
        <v>Lancaster</v>
      </c>
      <c r="E18" s="11">
        <f>VLOOKUP($B18,'BaseLine Data'!$B9:$AQ21,4,FALSE)</f>
        <v>908</v>
      </c>
      <c r="F18" s="11">
        <f>VLOOKUP($B18,'BaseLine Data'!$B9:$AQ21,6,FALSE)</f>
        <v>2</v>
      </c>
      <c r="G18" s="11">
        <f>VLOOKUP($B18,'BaseLine Data'!$B9:$AQ21,7,FALSE)</f>
        <v>1900</v>
      </c>
      <c r="H18" s="11">
        <f>VLOOKUP($B18,'BaseLine Data'!$B9:$AQ21,13,FALSE)</f>
        <v>980</v>
      </c>
      <c r="I18" s="11">
        <f>VLOOKUP($B18,'BaseLine Data'!$B9:$AQ21,14,FALSE)</f>
        <v>1440</v>
      </c>
      <c r="J18" s="11">
        <f>VLOOKUP($B18,'BaseLine Data'!$B9:$AQ21,19,FALSE)</f>
        <v>4254</v>
      </c>
      <c r="K18" s="11">
        <f>VLOOKUP($B18,'BaseLine Data'!$B9:$AQ21,20,FALSE)</f>
        <v>293</v>
      </c>
      <c r="L18" s="47">
        <f>VLOOKUP($B18,'BaseLine Data'!$B9:$AQ21,21,FALSE)</f>
        <v>36.050847457627121</v>
      </c>
      <c r="M18" s="47">
        <f>VLOOKUP($B18,'BaseLine Data'!$B9:$AQ21,22,FALSE)</f>
        <v>1.4250972762645915</v>
      </c>
      <c r="N18" s="47">
        <f>VLOOKUP($B18,'BaseLine Data'!$B9:$AQ21,25,FALSE)</f>
        <v>4.3408163265306126</v>
      </c>
      <c r="O18" s="47">
        <f>VLOOKUP($B18,'BaseLine Data'!$B9:$AQ21,26,FALSE)</f>
        <v>0.20347222222222222</v>
      </c>
      <c r="P18" s="40">
        <f>VLOOKUP($B18,'BaseLine Data'!$B$9:$AQ$21,38,FALSE)</f>
        <v>22.48</v>
      </c>
      <c r="Q18" s="40">
        <f>VLOOKUP($B18,'BaseLine Data'!$B$9:$AQ$21,39,FALSE)</f>
        <v>50.78</v>
      </c>
      <c r="R18" s="40">
        <f>VLOOKUP($B18,'BaseLine Data'!$B$9:$AQ$21,40,FALSE)</f>
        <v>22.88</v>
      </c>
      <c r="S18" s="40">
        <f>VLOOKUP($B18,'BaseLine Data'!$B$9:$AQ$21,41,FALSE)</f>
        <v>52.13</v>
      </c>
      <c r="T18" s="82">
        <v>0</v>
      </c>
      <c r="U18" s="82">
        <v>0</v>
      </c>
      <c r="V18" s="40">
        <f>VLOOKUP($B18,'BaseLine Data'!$B9:$AQ21,32,FALSE)</f>
        <v>22.26</v>
      </c>
      <c r="W18" s="48">
        <f>VLOOKUP($B18,'BaseLine Data'!$B9:$AQ21,33,FALSE)</f>
        <v>50.03</v>
      </c>
      <c r="X18" s="37">
        <f t="shared" si="2"/>
        <v>15.458333333333334</v>
      </c>
      <c r="Y18" s="37">
        <f>1000*W18/I18</f>
        <v>34.743055555555557</v>
      </c>
      <c r="Z18" s="81">
        <f>2*1000*P18/I18</f>
        <v>31.222222222222221</v>
      </c>
      <c r="AA18" s="81">
        <f>2*1000*Q18/I18</f>
        <v>70.527777777777771</v>
      </c>
      <c r="AB18" s="81">
        <f>1000*(P18+R18)/I18</f>
        <v>31.5</v>
      </c>
      <c r="AC18" s="81">
        <f>1000*(Q18+S18)/I18</f>
        <v>71.465277777777771</v>
      </c>
      <c r="AD18" s="81"/>
      <c r="AE18" s="75">
        <f>VLOOKUP($B18,'BaseLine Data'!$B$9:$AQ35,42,FALSE)</f>
        <v>10</v>
      </c>
    </row>
    <row r="19" spans="1:31">
      <c r="A19" s="10" t="s">
        <v>31</v>
      </c>
      <c r="B19" s="11" t="s">
        <v>36</v>
      </c>
      <c r="C19" s="11">
        <f>VLOOKUP($B19,'BaseLine Data'!$B9:$AQ21,2,FALSE)</f>
        <v>1</v>
      </c>
      <c r="D19" s="11" t="str">
        <f>VLOOKUP($B19,'BaseLine Data'!$B9:$AQ21,3,FALSE)</f>
        <v>Brookline</v>
      </c>
      <c r="E19" s="11">
        <f>VLOOKUP($B19,'BaseLine Data'!$B9:$AQ21,4,FALSE)</f>
        <v>2284</v>
      </c>
      <c r="F19" s="11">
        <f>VLOOKUP($B19,'BaseLine Data'!$B9:$AQ21,6,FALSE)</f>
        <v>3</v>
      </c>
      <c r="G19" s="11">
        <f>VLOOKUP($B19,'BaseLine Data'!$B9:$AQ21,7,FALSE)</f>
        <v>1899</v>
      </c>
      <c r="H19" s="11">
        <f>VLOOKUP($B19,'BaseLine Data'!$B9:$AQ21,13,FALSE)</f>
        <v>3078</v>
      </c>
      <c r="I19" s="11">
        <f>VLOOKUP($B19,'BaseLine Data'!$B9:$AQ21,14,FALSE)</f>
        <v>3174</v>
      </c>
      <c r="J19" s="11">
        <f>VLOOKUP($B19,'BaseLine Data'!$B9:$AQ21,19,FALSE)</f>
        <v>1640</v>
      </c>
      <c r="K19" s="11">
        <f>VLOOKUP($B19,'BaseLine Data'!$B9:$AQ21,20,FALSE)</f>
        <v>655</v>
      </c>
      <c r="L19" s="47">
        <f>VLOOKUP($B19,'BaseLine Data'!$B9:$AQ21,21,FALSE)</f>
        <v>3.7575896437163481</v>
      </c>
      <c r="M19" s="47">
        <f>VLOOKUP($B19,'BaseLine Data'!$B9:$AQ21,22,FALSE)</f>
        <v>1.5007446442891512</v>
      </c>
      <c r="N19" s="47">
        <f>VLOOKUP($B19,'BaseLine Data'!$B9:$AQ21,25,FALSE)</f>
        <v>0.53281351526965559</v>
      </c>
      <c r="O19" s="47">
        <f>VLOOKUP($B19,'BaseLine Data'!$B9:$AQ21,26,FALSE)</f>
        <v>0.20636420919974796</v>
      </c>
      <c r="P19" s="40">
        <f>VLOOKUP($B19,'BaseLine Data'!$B$9:$AQ$21,38,FALSE)</f>
        <v>31.5</v>
      </c>
      <c r="Q19" s="40">
        <f>VLOOKUP($B19,'BaseLine Data'!$B$9:$AQ$21,39,FALSE)</f>
        <v>47.05</v>
      </c>
      <c r="R19" s="40">
        <f>VLOOKUP($B19,'BaseLine Data'!$B$9:$AQ$21,40,FALSE)</f>
        <v>35.65</v>
      </c>
      <c r="S19" s="40">
        <f>VLOOKUP($B19,'BaseLine Data'!$B$9:$AQ$21,41,FALSE)</f>
        <v>51.39</v>
      </c>
      <c r="T19" s="82">
        <v>0</v>
      </c>
      <c r="U19" s="82">
        <v>0</v>
      </c>
      <c r="V19" s="40">
        <f>VLOOKUP($B19,'BaseLine Data'!$B9:$AQ21,32,FALSE)</f>
        <v>28.04</v>
      </c>
      <c r="W19" s="48">
        <f>VLOOKUP($B19,'BaseLine Data'!$B9:$AQ21,33,FALSE)</f>
        <v>43.43</v>
      </c>
      <c r="X19" s="37">
        <f t="shared" si="2"/>
        <v>8.8342785129174537</v>
      </c>
      <c r="Y19" s="37">
        <f>1000*W19/I19</f>
        <v>13.683049779458097</v>
      </c>
      <c r="Z19" s="81">
        <f>2*1000*P19/I19</f>
        <v>19.848771266540641</v>
      </c>
      <c r="AA19" s="81">
        <f>2*1000*Q19/I19</f>
        <v>29.647132955261501</v>
      </c>
      <c r="AB19" s="81">
        <f>1000*(P19+R19)/I19</f>
        <v>21.156269691241334</v>
      </c>
      <c r="AC19" s="81">
        <f>1000*(Q19+S19)/I19</f>
        <v>31.014492753623188</v>
      </c>
      <c r="AD19" s="81"/>
      <c r="AE19" s="75">
        <f>VLOOKUP($B19,'BaseLine Data'!$B$9:$AQ36,42,FALSE)</f>
        <v>11</v>
      </c>
    </row>
    <row r="20" spans="1:31">
      <c r="A20" s="10" t="s">
        <v>24</v>
      </c>
      <c r="B20" s="11" t="s">
        <v>37</v>
      </c>
      <c r="C20" s="11">
        <f>VLOOKUP($B20,'BaseLine Data'!$B9:$AQ21,2,FALSE)</f>
        <v>1</v>
      </c>
      <c r="D20" s="11" t="str">
        <f>VLOOKUP($B20,'BaseLine Data'!$B9:$AQ21,3,FALSE)</f>
        <v>Westford</v>
      </c>
      <c r="E20" s="11">
        <f>VLOOKUP($B20,'BaseLine Data'!$B9:$AQ21,4,FALSE)</f>
        <v>2906</v>
      </c>
      <c r="F20" s="11">
        <f>VLOOKUP($B20,'BaseLine Data'!$B9:$AQ21,6,FALSE)</f>
        <v>2</v>
      </c>
      <c r="G20" s="11">
        <f>VLOOKUP($B20,'BaseLine Data'!$B9:$AQ21,7,FALSE)</f>
        <v>1993</v>
      </c>
      <c r="H20" s="11">
        <f>VLOOKUP($B20,'BaseLine Data'!$B9:$AQ21,13,FALSE)</f>
        <v>2906</v>
      </c>
      <c r="I20" s="11">
        <f>VLOOKUP($B20,'BaseLine Data'!$B9:$AQ21,14,FALSE)</f>
        <v>3955</v>
      </c>
      <c r="J20" s="11">
        <f>VLOOKUP($B20,'BaseLine Data'!$B9:$AQ21,19,FALSE)</f>
        <v>2592</v>
      </c>
      <c r="K20" s="11">
        <f>VLOOKUP($B20,'BaseLine Data'!$B9:$AQ21,20,FALSE)</f>
        <v>930</v>
      </c>
      <c r="L20" s="47">
        <f>VLOOKUP($B20,'BaseLine Data'!$B9:$AQ21,21,FALSE)</f>
        <v>4.8259169614596908</v>
      </c>
      <c r="M20" s="47">
        <f>VLOOKUP($B20,'BaseLine Data'!$B9:$AQ21,22,FALSE)</f>
        <v>1.2546374367622262</v>
      </c>
      <c r="N20" s="47">
        <f>VLOOKUP($B20,'BaseLine Data'!$B9:$AQ21,25,FALSE)</f>
        <v>0.89194769442532695</v>
      </c>
      <c r="O20" s="47">
        <f>VLOOKUP($B20,'BaseLine Data'!$B9:$AQ21,26,FALSE)</f>
        <v>0.23514538558786346</v>
      </c>
      <c r="P20" s="40">
        <f>VLOOKUP($B20,'BaseLine Data'!$B$9:$AQ$21,38,FALSE)</f>
        <v>59.99</v>
      </c>
      <c r="Q20" s="40">
        <f>VLOOKUP($B20,'BaseLine Data'!$B$9:$AQ$21,39,FALSE)</f>
        <v>106.74</v>
      </c>
      <c r="R20" s="40">
        <f>VLOOKUP($B20,'BaseLine Data'!$B$9:$AQ$21,40,FALSE)</f>
        <v>68.06</v>
      </c>
      <c r="S20" s="40">
        <f>VLOOKUP($B20,'BaseLine Data'!$B$9:$AQ$21,41,FALSE)</f>
        <v>115.18</v>
      </c>
      <c r="T20" s="82">
        <v>0</v>
      </c>
      <c r="U20" s="82">
        <v>0</v>
      </c>
      <c r="V20" s="40">
        <f>VLOOKUP($B20,'BaseLine Data'!$B9:$AQ21,32,FALSE)</f>
        <v>56.66</v>
      </c>
      <c r="W20" s="48">
        <f>VLOOKUP($B20,'BaseLine Data'!$B9:$AQ21,33,FALSE)</f>
        <v>103.25</v>
      </c>
      <c r="X20" s="37">
        <f t="shared" si="2"/>
        <v>14.326169405815424</v>
      </c>
      <c r="Y20" s="37">
        <f>1000*W20/I20</f>
        <v>26.106194690265486</v>
      </c>
      <c r="Z20" s="81">
        <f>2*1000*P20/I20</f>
        <v>30.336283185840706</v>
      </c>
      <c r="AA20" s="81">
        <f>2*1000*Q20/I20</f>
        <v>53.977243994943109</v>
      </c>
      <c r="AB20" s="81">
        <f>1000*(P20+R20)/I20</f>
        <v>32.376738305941849</v>
      </c>
      <c r="AC20" s="81">
        <f>1000*(Q20+S20)/I20</f>
        <v>56.111251580278136</v>
      </c>
      <c r="AD20" s="81"/>
      <c r="AE20" s="75">
        <f>VLOOKUP($B20,'BaseLine Data'!$B$9:$AQ37,42,FALSE)</f>
        <v>12</v>
      </c>
    </row>
    <row r="21" spans="1:31" ht="30">
      <c r="A21" s="10" t="s">
        <v>24</v>
      </c>
      <c r="B21" s="11" t="s">
        <v>38</v>
      </c>
      <c r="C21" s="11">
        <f>VLOOKUP($B21,'BaseLine Data'!$B9:$AQ21,2,FALSE)</f>
        <v>1</v>
      </c>
      <c r="D21" s="11" t="str">
        <f>VLOOKUP($B21,'BaseLine Data'!$B9:$AQ21,3,FALSE)</f>
        <v>Gloucester</v>
      </c>
      <c r="E21" s="11">
        <f>VLOOKUP($B21,'BaseLine Data'!$B9:$AQ21,4,FALSE)</f>
        <v>2171</v>
      </c>
      <c r="F21" s="11">
        <f>VLOOKUP($B21,'BaseLine Data'!$B9:$AQ21,6,FALSE)</f>
        <v>2</v>
      </c>
      <c r="G21" s="11">
        <f>VLOOKUP($B21,'BaseLine Data'!$B9:$AQ21,7,FALSE)</f>
        <v>1920</v>
      </c>
      <c r="H21" s="11">
        <f>VLOOKUP($B21,'BaseLine Data'!$B9:$AQ21,13,FALSE)</f>
        <v>2171</v>
      </c>
      <c r="I21" s="11">
        <f>VLOOKUP($B21,'BaseLine Data'!$B9:$AQ21,14,FALSE)</f>
        <v>2424</v>
      </c>
      <c r="J21" s="11">
        <f>VLOOKUP($B21,'BaseLine Data'!$B9:$AQ21,19,FALSE)</f>
        <v>2258</v>
      </c>
      <c r="K21" s="11">
        <f>VLOOKUP($B21,'BaseLine Data'!$B9:$AQ21,20,FALSE)</f>
        <v>235</v>
      </c>
      <c r="L21" s="47" t="e">
        <f>VLOOKUP($B21,'BaseLine Data'!$B9:$AQ21,21,FALSE)</f>
        <v>#DIV/0!</v>
      </c>
      <c r="M21" s="47">
        <f>VLOOKUP($B21,'BaseLine Data'!$B9:$AQ21,22,FALSE)</f>
        <v>0.60554004724071286</v>
      </c>
      <c r="N21" s="47">
        <f>VLOOKUP($B21,'BaseLine Data'!$B9:$AQ21,25,FALSE)</f>
        <v>1.0400736987563335</v>
      </c>
      <c r="O21" s="47">
        <f>VLOOKUP($B21,'BaseLine Data'!$B9:$AQ21,26,FALSE)</f>
        <v>9.6947194719471941E-2</v>
      </c>
      <c r="P21" s="40">
        <f>VLOOKUP($B21,'BaseLine Data'!$B$9:$AQ$21,38,FALSE)</f>
        <v>20.72</v>
      </c>
      <c r="Q21" s="40">
        <f>VLOOKUP($B21,'BaseLine Data'!$B$9:$AQ$21,39,FALSE)</f>
        <v>69.19</v>
      </c>
      <c r="R21" s="40">
        <f>VLOOKUP($B21,'BaseLine Data'!$B$9:$AQ$21,40,FALSE)</f>
        <v>22.68</v>
      </c>
      <c r="S21" s="40">
        <f>VLOOKUP($B21,'BaseLine Data'!$B$9:$AQ$21,41,FALSE)</f>
        <v>75.739999999999995</v>
      </c>
      <c r="T21" s="82">
        <v>0</v>
      </c>
      <c r="U21" s="82">
        <v>0</v>
      </c>
      <c r="V21" s="40">
        <f>VLOOKUP($B21,'BaseLine Data'!$B9:$AQ21,32,FALSE)</f>
        <v>19.55</v>
      </c>
      <c r="W21" s="48">
        <f>VLOOKUP($B21,'BaseLine Data'!$B9:$AQ21,33,FALSE)</f>
        <v>65.28</v>
      </c>
      <c r="X21" s="37">
        <f t="shared" si="2"/>
        <v>8.0651815181518156</v>
      </c>
      <c r="Y21" s="37">
        <f>1000*W21/I21</f>
        <v>26.93069306930693</v>
      </c>
      <c r="Z21" s="81">
        <f>2*1000*P21/I21</f>
        <v>17.095709570957094</v>
      </c>
      <c r="AA21" s="81">
        <f>2*1000*Q21/I21</f>
        <v>57.087458745874585</v>
      </c>
      <c r="AB21" s="81">
        <f>1000*(P21+R21)/I21</f>
        <v>17.904290429042906</v>
      </c>
      <c r="AC21" s="81">
        <f>1000*(Q21+S21)/I21</f>
        <v>59.789603960396036</v>
      </c>
      <c r="AD21" s="81"/>
      <c r="AE21" s="75">
        <f>VLOOKUP($B21,'BaseLine Data'!$B$9:$AQ38,42,FALSE)</f>
        <v>14</v>
      </c>
    </row>
    <row r="23" spans="1:31">
      <c r="B23" s="39"/>
      <c r="I23" s="38"/>
      <c r="K23" s="37"/>
      <c r="L23" s="35"/>
      <c r="M23" s="37"/>
      <c r="O23" s="35"/>
      <c r="U23" s="59">
        <f>AVERAGEA(U9:U17)</f>
        <v>45.376214610282851</v>
      </c>
      <c r="Y23" s="59">
        <f>AVERAGEA(Y10,Y12:Y17,Y20)</f>
        <v>21.699478670196147</v>
      </c>
    </row>
    <row r="24" spans="1:31">
      <c r="B24" s="39"/>
      <c r="K24" s="37"/>
      <c r="L24" s="37"/>
      <c r="M24" s="37"/>
      <c r="T24" s="81">
        <f>MAX(T9:T17)</f>
        <v>31.159618008185539</v>
      </c>
      <c r="U24" s="81">
        <f>MAX(U9:U17)</f>
        <v>74.951820128479653</v>
      </c>
    </row>
    <row r="25" spans="1:31">
      <c r="B25" s="39"/>
      <c r="K25" s="37"/>
      <c r="L25" s="35"/>
      <c r="M25" s="37"/>
      <c r="T25" s="81">
        <f>MIN(T9:T17)</f>
        <v>10.156534401164906</v>
      </c>
      <c r="U25" s="81">
        <f>MIN(U9:U17)</f>
        <v>27.645516518091242</v>
      </c>
    </row>
    <row r="26" spans="1:31">
      <c r="B26" s="39"/>
      <c r="K26" s="37"/>
      <c r="L26" s="37"/>
      <c r="M26" s="37"/>
    </row>
    <row r="55" spans="23:23">
      <c r="W55" t="s">
        <v>194</v>
      </c>
    </row>
  </sheetData>
  <dataValidations disablePrompts="1" count="2">
    <dataValidation type="list" allowBlank="1" showInputMessage="1" showErrorMessage="1" sqref="WVC9:WVC21 IQ9:IQ21 SM9:SM21 ACI9:ACI21 AME9:AME21 AWA9:AWA21 BFW9:BFW21 BPS9:BPS21 BZO9:BZO21 CJK9:CJK21 CTG9:CTG21 DDC9:DDC21 DMY9:DMY21 DWU9:DWU21 EGQ9:EGQ21 EQM9:EQM21 FAI9:FAI21 FKE9:FKE21 FUA9:FUA21 GDW9:GDW21 GNS9:GNS21 GXO9:GXO21 HHK9:HHK21 HRG9:HRG21 IBC9:IBC21 IKY9:IKY21 IUU9:IUU21 JEQ9:JEQ21 JOM9:JOM21 JYI9:JYI21 KIE9:KIE21 KSA9:KSA21 LBW9:LBW21 LLS9:LLS21 LVO9:LVO21 MFK9:MFK21 MPG9:MPG21 MZC9:MZC21 NIY9:NIY21 NSU9:NSU21 OCQ9:OCQ21 OMM9:OMM21 OWI9:OWI21 PGE9:PGE21 PQA9:PQA21 PZW9:PZW21 QJS9:QJS21 QTO9:QTO21 RDK9:RDK21 RNG9:RNG21 RXC9:RXC21 SGY9:SGY21 SQU9:SQU21 TAQ9:TAQ21 TKM9:TKM21 TUI9:TUI21 UEE9:UEE21 UOA9:UOA21 UXW9:UXW21 VHS9:VHS21 VRO9:VRO21 WBK9:WBK21 WLG9:WLG21">
      <formula1>'[1]Project Statistics'!$K$74:$K$79</formula1>
    </dataValidation>
    <dataValidation type="list" allowBlank="1" showInputMessage="1" showErrorMessage="1" sqref="WVD9:WVE21 IR9:IS21 SN9:SO21 ACJ9:ACK21 AMF9:AMG21 AWB9:AWC21 BFX9:BFY21 BPT9:BPU21 BZP9:BZQ21 CJL9:CJM21 CTH9:CTI21 DDD9:DDE21 DMZ9:DNA21 DWV9:DWW21 EGR9:EGS21 EQN9:EQO21 FAJ9:FAK21 FKF9:FKG21 FUB9:FUC21 GDX9:GDY21 GNT9:GNU21 GXP9:GXQ21 HHL9:HHM21 HRH9:HRI21 IBD9:IBE21 IKZ9:ILA21 IUV9:IUW21 JER9:JES21 JON9:JOO21 JYJ9:JYK21 KIF9:KIG21 KSB9:KSC21 LBX9:LBY21 LLT9:LLU21 LVP9:LVQ21 MFL9:MFM21 MPH9:MPI21 MZD9:MZE21 NIZ9:NJA21 NSV9:NSW21 OCR9:OCS21 OMN9:OMO21 OWJ9:OWK21 PGF9:PGG21 PQB9:PQC21 PZX9:PZY21 QJT9:QJU21 QTP9:QTQ21 RDL9:RDM21 RNH9:RNI21 RXD9:RXE21 SGZ9:SHA21 SQV9:SQW21 TAR9:TAS21 TKN9:TKO21 TUJ9:TUK21 UEF9:UEG21 UOB9:UOC21 UXX9:UXY21 VHT9:VHU21 VRP9:VRQ21 WBL9:WBM21 WLH9:WLI21">
      <formula1>'[1]Project Statistics'!$M$74:$M$75</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dimension ref="A7:AH84"/>
  <sheetViews>
    <sheetView topLeftCell="B63" zoomScale="140" zoomScaleNormal="140" workbookViewId="0">
      <pane xSplit="1" topLeftCell="I1" activePane="topRight" state="frozen"/>
      <selection activeCell="B9" sqref="B9:X21"/>
      <selection pane="topRight" activeCell="T7" sqref="T1:T1048576"/>
    </sheetView>
  </sheetViews>
  <sheetFormatPr defaultRowHeight="15"/>
  <cols>
    <col min="2" max="2" width="11.7109375" customWidth="1"/>
    <col min="3" max="3" width="8.7109375" customWidth="1"/>
    <col min="4" max="4" width="12.7109375" customWidth="1"/>
    <col min="6" max="6" width="11.5703125" customWidth="1"/>
    <col min="13" max="16" width="11.5703125" bestFit="1" customWidth="1"/>
    <col min="19" max="20" width="11.5703125" bestFit="1" customWidth="1"/>
  </cols>
  <sheetData>
    <row r="7" spans="1:33" ht="165.75" thickBot="1">
      <c r="B7" s="1" t="s">
        <v>0</v>
      </c>
      <c r="C7" s="11" t="str">
        <f>VLOOKUP($B7,'BaseLine Data'!$B7:$AQ21,2,FALSE)</f>
        <v>Number of Housing Units</v>
      </c>
      <c r="D7" s="11" t="str">
        <f>VLOOKUP($B7,'BaseLine Data'!$B7:$AQ21,3,FALSE)</f>
        <v>Location</v>
      </c>
      <c r="E7" s="11" t="str">
        <f>VLOOKUP($B7,'BaseLine Data'!$B7:$AQ21,4,FALSE)</f>
        <v>Pre-DER Cond. Floor Area
(sq.ft.)</v>
      </c>
      <c r="F7" s="11" t="str">
        <f>VLOOKUP($B7,'BaseLine Data'!$B7:$AQ21,2,FALSE)</f>
        <v>Number of Housing Units</v>
      </c>
      <c r="G7" s="11" t="str">
        <f>VLOOKUP($B7,'BaseLine Data'!$B7:$AQ21,6,FALSE)</f>
        <v>Stories</v>
      </c>
      <c r="H7" s="11" t="str">
        <f>VLOOKUP($B7,'BaseLine Data'!$B7:$AQ21,7,FALSE)</f>
        <v>Approx. Year Built</v>
      </c>
      <c r="I7" s="11" t="str">
        <f>VLOOKUP($B7,'BaseLine Data'!$B7:$AQ21,13,FALSE)</f>
        <v>Pre-DER Cond. Floor Area
(sq.ft.)</v>
      </c>
      <c r="J7" s="11" t="str">
        <f>VLOOKUP($B7,'BaseLine Data'!$B7:$AQ21,14,FALSE)</f>
        <v>Post-DER Con. Floor Area        (sq.ft.)</v>
      </c>
      <c r="K7" s="11" t="str">
        <f>VLOOKUP($B7,'BaseLine Data'!$B7:$AQ21,19,FALSE)</f>
        <v>Pre-DER   CFM 50</v>
      </c>
      <c r="L7" s="11" t="str">
        <f>VLOOKUP($B7,'BaseLine Data'!$B7:$AQ21,20,FALSE)</f>
        <v>Post-DER CFM 50</v>
      </c>
      <c r="M7" s="11" t="str">
        <f>VLOOKUP($B7,'BaseLine Data'!$B7:$AQ21,21,FALSE)</f>
        <v xml:space="preserve">Pre-DER   ACH 50 </v>
      </c>
      <c r="N7" s="11" t="str">
        <f>VLOOKUP($B7,'BaseLine Data'!$B7:$AQ21,22,FALSE)</f>
        <v xml:space="preserve">Post-DER ACH 50 </v>
      </c>
      <c r="O7" s="11" t="str">
        <f>VLOOKUP($B7,'BaseLine Data'!$B7:$AQ21,25,FALSE)</f>
        <v>Pre-DER CFM/sf Conditioned floor area</v>
      </c>
      <c r="P7" s="11" t="str">
        <f>VLOOKUP($B7,'BaseLine Data'!$B7:$AQ21,26,FALSE)</f>
        <v>Post-DER CFM/sf Conditioned floor area</v>
      </c>
      <c r="Q7" s="11" t="str">
        <f>VLOOKUP($B7,'BaseLine Data'!$B7:$AQ21,32,FALSE)</f>
        <v>6 months site MMBtu</v>
      </c>
      <c r="R7" s="11" t="s">
        <v>54</v>
      </c>
      <c r="S7" s="11" t="str">
        <f>VLOOKUP($B7,'BaseLine Data'!$B7:$AQ21,33,FALSE)</f>
        <v>6 months source MMBtu</v>
      </c>
      <c r="T7" s="11" t="str">
        <f>VLOOKUP($B7,'BaseLine Data'!$B7:$AQ21,34,FALSE)</f>
        <v>6 months source w PV credit</v>
      </c>
      <c r="U7" s="11" t="s">
        <v>43</v>
      </c>
      <c r="V7" s="55" t="s">
        <v>90</v>
      </c>
      <c r="W7" s="58" t="s">
        <v>146</v>
      </c>
      <c r="X7" s="58"/>
      <c r="Y7" s="11" t="str">
        <f>VLOOKUP($B7,'BaseLine Data'!$B7:$CC21,54,FALSE)</f>
        <v>6months post-retrofit electricity site MMBtu</v>
      </c>
      <c r="Z7" s="11" t="str">
        <f>VLOOKUP($B7,'BaseLine Data'!$B7:$CC21,55,FALSE)</f>
        <v>6 month post-retrofit on-site gen + used electricity</v>
      </c>
      <c r="AA7" s="11" t="str">
        <f>VLOOKUP($B7,'BaseLine Data'!$B7:$CC21,56,FALSE)</f>
        <v>6months post-retrofit gas or propanesite MMBtu</v>
      </c>
      <c r="AB7" s="11" t="str">
        <f>VLOOKUP($B7,'BaseLine Data'!$B7:$CC21,57,FALSE)</f>
        <v>6months post-retrofit others site MMBtu</v>
      </c>
      <c r="AC7" s="11" t="str">
        <f>VLOOKUP($B7,'BaseLine Data'!$B7:$CC21,58,FALSE)</f>
        <v>6 months post-retrofit electricity source MMBtu</v>
      </c>
      <c r="AD7" s="11" t="str">
        <f>VLOOKUP($B7,'BaseLine Data'!$B7:$CC21,59,FALSE)</f>
        <v>6 months post-retrofit electricity source adjusted for on-site gen + used source MMBtu</v>
      </c>
      <c r="AE7" s="11" t="str">
        <f>VLOOKUP($B7,'BaseLine Data'!$B7:$CC21,60,FALSE)</f>
        <v>6 months post-retrofit natural gas or propane source MMBtu</v>
      </c>
      <c r="AF7" s="11" t="str">
        <f>VLOOKUP($B7,'BaseLine Data'!$B7:$CC21,61,FALSE)</f>
        <v>6 months post-retrofit other source MMBtu</v>
      </c>
      <c r="AG7" s="55"/>
    </row>
    <row r="8" spans="1:33" ht="71.25">
      <c r="A8" s="9"/>
      <c r="B8" s="49" t="s">
        <v>23</v>
      </c>
      <c r="C8" s="50"/>
      <c r="D8" s="50"/>
      <c r="E8" s="50"/>
      <c r="F8" s="50"/>
      <c r="G8" s="50"/>
      <c r="H8" s="50"/>
      <c r="I8" s="51"/>
      <c r="J8" s="52"/>
      <c r="K8" s="53"/>
      <c r="L8" s="53"/>
      <c r="M8" s="54"/>
      <c r="N8" s="41"/>
      <c r="O8" s="53"/>
      <c r="P8" s="41"/>
      <c r="Y8" s="55" t="s">
        <v>192</v>
      </c>
      <c r="Z8" s="55" t="s">
        <v>192</v>
      </c>
      <c r="AA8" s="55" t="s">
        <v>192</v>
      </c>
      <c r="AB8" s="55" t="s">
        <v>192</v>
      </c>
      <c r="AC8" s="55" t="s">
        <v>192</v>
      </c>
      <c r="AD8" s="55" t="s">
        <v>192</v>
      </c>
      <c r="AE8" s="55" t="s">
        <v>192</v>
      </c>
      <c r="AF8" s="55" t="s">
        <v>192</v>
      </c>
    </row>
    <row r="9" spans="1:33">
      <c r="A9" s="10" t="s">
        <v>24</v>
      </c>
      <c r="B9" s="11" t="s">
        <v>25</v>
      </c>
      <c r="C9" s="11">
        <f>VLOOKUP($B9,'BaseLine Data'!$B9:$AQ21,2,FALSE)</f>
        <v>1</v>
      </c>
      <c r="D9" s="11" t="str">
        <f>VLOOKUP($B9,'BaseLine Data'!$B9:$AQ21,3,FALSE)</f>
        <v>Belchertown</v>
      </c>
      <c r="E9" s="11">
        <f>VLOOKUP($B9,'BaseLine Data'!$B9:$AQ21,4,FALSE)</f>
        <v>1352</v>
      </c>
      <c r="F9" s="11">
        <f>VLOOKUP($B9,'BaseLine Data'!$B9:$AQ21,2,FALSE)</f>
        <v>1</v>
      </c>
      <c r="G9" s="11">
        <f>VLOOKUP($B9,'BaseLine Data'!$B9:$AQ21,6,FALSE)</f>
        <v>1.5</v>
      </c>
      <c r="H9" s="11">
        <f>VLOOKUP($B9,'BaseLine Data'!$B9:$AQ21,7,FALSE)</f>
        <v>1760</v>
      </c>
      <c r="I9" s="11">
        <f>VLOOKUP($B9,'BaseLine Data'!$B9:$AQ21,13,FALSE)</f>
        <v>1435</v>
      </c>
      <c r="J9" s="11">
        <f>VLOOKUP($B9,'BaseLine Data'!$B9:$AQ21,14,FALSE)</f>
        <v>1907</v>
      </c>
      <c r="K9" s="11">
        <f>VLOOKUP($B9,'BaseLine Data'!$B9:$AQ21,19,FALSE)</f>
        <v>9079</v>
      </c>
      <c r="L9" s="11">
        <f>VLOOKUP($B9,'BaseLine Data'!$B9:$AQ21,20,FALSE)</f>
        <v>468</v>
      </c>
      <c r="M9" s="47">
        <f>VLOOKUP($B9,'BaseLine Data'!$B9:$AQ21,21,FALSE)</f>
        <v>57.656646909398809</v>
      </c>
      <c r="N9" s="47">
        <f>VLOOKUP($B9,'BaseLine Data'!$B9:$AQ21,22,FALSE)</f>
        <v>1.8755009350788139</v>
      </c>
      <c r="O9" s="47">
        <f>VLOOKUP($B9,'BaseLine Data'!$B9:$AQ21,25,FALSE)</f>
        <v>6.3268292682926832</v>
      </c>
      <c r="P9" s="47">
        <f>VLOOKUP($B9,'BaseLine Data'!$B9:$AQ21,26,FALSE)</f>
        <v>0.2454116413214473</v>
      </c>
      <c r="Q9" s="82">
        <f>VLOOKUP($B9,'BaseLine Data'!$B9:$AQ21,32,FALSE)</f>
        <v>15.1</v>
      </c>
      <c r="R9" s="48">
        <f t="shared" ref="R9:R21" si="0">1000*Q9/J9</f>
        <v>7.9181961195595179</v>
      </c>
      <c r="S9" s="82">
        <f>VLOOKUP($B9,'BaseLine Data'!$B9:$AQ21,33,FALSE)</f>
        <v>22.29</v>
      </c>
      <c r="T9" s="82">
        <f>VLOOKUP($B9,'BaseLine Data'!$B9:$AQ21,34,FALSE)</f>
        <v>0</v>
      </c>
      <c r="U9" s="37">
        <f t="shared" ref="U9:U21" si="1">1000*S9/J9</f>
        <v>11.688515993707394</v>
      </c>
      <c r="V9" s="37">
        <f t="shared" ref="V9:V21" si="2">1000*T9/J9</f>
        <v>0</v>
      </c>
      <c r="W9" s="37">
        <f>S9/Q9</f>
        <v>1.476158940397351</v>
      </c>
      <c r="X9" s="37"/>
      <c r="Y9" s="48">
        <f>VLOOKUP($B9,'BaseLine Data'!$B$9:$CC$21,54,FALSE)*1000/J9</f>
        <v>1.5836392239119035</v>
      </c>
      <c r="Z9" s="48">
        <f>VLOOKUP($B9,'BaseLine Data'!$B$9:$CC$21,55,FALSE)*1000/J9</f>
        <v>0</v>
      </c>
      <c r="AA9" s="48">
        <f>VLOOKUP($B9,'BaseLine Data'!$B$9:$CC$21,56,FALSE)*1000/J9</f>
        <v>6.3345568956476139</v>
      </c>
      <c r="AB9" s="48">
        <f>VLOOKUP($B9,'BaseLine Data'!$B$9:$CC$21,57,FALSE)*1000/J9</f>
        <v>0</v>
      </c>
      <c r="AC9" s="48">
        <f>VLOOKUP($B9,'BaseLine Data'!$B$9:$CC$21,58,FALSE)*1000/J9</f>
        <v>5.291033036182486</v>
      </c>
      <c r="AD9" s="48">
        <f>VLOOKUP($B9,'BaseLine Data'!$B$9:$CC$21,59,FALSE)*1000/J9</f>
        <v>0</v>
      </c>
      <c r="AE9" s="48">
        <f>VLOOKUP($B9,'BaseLine Data'!$B$9:$CC$21,60,FALSE)*1000/J9</f>
        <v>6.3974829575249084</v>
      </c>
      <c r="AF9" s="48">
        <f>VLOOKUP($B9,'BaseLine Data'!$B$9:$CC$21,61,FALSE)*1000/J9</f>
        <v>0</v>
      </c>
    </row>
    <row r="10" spans="1:33">
      <c r="A10" s="10" t="s">
        <v>24</v>
      </c>
      <c r="B10" s="17" t="s">
        <v>36</v>
      </c>
      <c r="C10" s="11">
        <f>VLOOKUP($B10,'BaseLine Data'!$B9:$AQ21,2,FALSE)</f>
        <v>1</v>
      </c>
      <c r="D10" s="11" t="str">
        <f>VLOOKUP($B10,'BaseLine Data'!$B9:$AQ21,3,FALSE)</f>
        <v>Brookline</v>
      </c>
      <c r="E10" s="11">
        <f>VLOOKUP($B10,'BaseLine Data'!$B9:$AQ21,4,FALSE)</f>
        <v>2284</v>
      </c>
      <c r="F10" s="11">
        <f>VLOOKUP($B10,'BaseLine Data'!$B9:$AQ21,2,FALSE)</f>
        <v>1</v>
      </c>
      <c r="G10" s="11">
        <f>VLOOKUP($B10,'BaseLine Data'!$B9:$AQ21,6,FALSE)</f>
        <v>3</v>
      </c>
      <c r="H10" s="11">
        <f>VLOOKUP($B10,'BaseLine Data'!$B9:$AQ21,7,FALSE)</f>
        <v>1899</v>
      </c>
      <c r="I10" s="11">
        <f>VLOOKUP($B10,'BaseLine Data'!$B9:$AQ21,13,FALSE)</f>
        <v>3078</v>
      </c>
      <c r="J10" s="11">
        <f>VLOOKUP($B10,'BaseLine Data'!$B9:$AQ21,14,FALSE)</f>
        <v>3174</v>
      </c>
      <c r="K10" s="11">
        <f>VLOOKUP($B10,'BaseLine Data'!$B9:$AQ21,19,FALSE)</f>
        <v>1640</v>
      </c>
      <c r="L10" s="11">
        <f>VLOOKUP($B10,'BaseLine Data'!$B9:$AQ21,20,FALSE)</f>
        <v>655</v>
      </c>
      <c r="M10" s="47">
        <f>VLOOKUP($B10,'BaseLine Data'!$B9:$AQ21,21,FALSE)</f>
        <v>3.7575896437163481</v>
      </c>
      <c r="N10" s="47">
        <f>VLOOKUP($B10,'BaseLine Data'!$B9:$AQ21,22,FALSE)</f>
        <v>1.5007446442891512</v>
      </c>
      <c r="O10" s="47">
        <f>VLOOKUP($B10,'BaseLine Data'!$B9:$AQ21,25,FALSE)</f>
        <v>0.53281351526965559</v>
      </c>
      <c r="P10" s="47">
        <f>VLOOKUP($B10,'BaseLine Data'!$B9:$AQ21,26,FALSE)</f>
        <v>0.20636420919974796</v>
      </c>
      <c r="Q10" s="82">
        <f>VLOOKUP($B10,'BaseLine Data'!$B9:$AQ21,32,FALSE)</f>
        <v>28.04</v>
      </c>
      <c r="R10" s="48">
        <f t="shared" si="0"/>
        <v>8.8342785129174537</v>
      </c>
      <c r="S10" s="82">
        <f>VLOOKUP($B10,'BaseLine Data'!$B9:$AQ21,33,FALSE)</f>
        <v>43.43</v>
      </c>
      <c r="T10" s="82">
        <f>VLOOKUP($B10,'BaseLine Data'!$B9:$AQ21,34,FALSE)</f>
        <v>0</v>
      </c>
      <c r="U10" s="37">
        <f t="shared" si="1"/>
        <v>13.683049779458097</v>
      </c>
      <c r="V10" s="37">
        <f t="shared" si="2"/>
        <v>0</v>
      </c>
      <c r="W10" s="37">
        <f t="shared" ref="W10:W21" si="3">S10/Q10</f>
        <v>1.5488587731811698</v>
      </c>
      <c r="X10" s="37"/>
      <c r="Y10" s="48">
        <f>VLOOKUP($B10,'BaseLine Data'!$B$9:$CC$21,54,FALSE)*1000/J10</f>
        <v>1.9344675488342784</v>
      </c>
      <c r="Z10" s="48">
        <f>VLOOKUP($B10,'BaseLine Data'!$B$9:$CC$21,55,FALSE)*1000/J10</f>
        <v>0</v>
      </c>
      <c r="AA10" s="48">
        <f>VLOOKUP($B10,'BaseLine Data'!$B$9:$CC$21,56,FALSE)*1000/J10</f>
        <v>6.8998109640831755</v>
      </c>
      <c r="AB10" s="48">
        <f>VLOOKUP($B10,'BaseLine Data'!$B$9:$CC$21,57,FALSE)*1000/J10</f>
        <v>0</v>
      </c>
      <c r="AC10" s="48">
        <f>VLOOKUP($B10,'BaseLine Data'!$B$9:$CC$21,58,FALSE)*1000/J10</f>
        <v>6.4587271581600501</v>
      </c>
      <c r="AD10" s="48">
        <f>VLOOKUP($B10,'BaseLine Data'!$B$9:$CC$21,59,FALSE)*1000/J10</f>
        <v>0</v>
      </c>
      <c r="AE10" s="48">
        <f>VLOOKUP($B10,'BaseLine Data'!$B$9:$CC$21,60,FALSE)*1000/J10</f>
        <v>7.2243226212980467</v>
      </c>
      <c r="AF10" s="48">
        <f>VLOOKUP($B10,'BaseLine Data'!$B$9:$CC$21,61,FALSE)*1000/J10</f>
        <v>0</v>
      </c>
    </row>
    <row r="11" spans="1:33" ht="30">
      <c r="A11" s="10" t="s">
        <v>24</v>
      </c>
      <c r="B11" s="11" t="s">
        <v>34</v>
      </c>
      <c r="C11" s="11">
        <f>VLOOKUP($B11,'BaseLine Data'!$B9:$AQ21,2,FALSE)</f>
        <v>1</v>
      </c>
      <c r="D11" s="11" t="str">
        <f>VLOOKUP($B11,'BaseLine Data'!$B9:$AQ21,3,FALSE)</f>
        <v>Northampton</v>
      </c>
      <c r="E11" s="11">
        <f>VLOOKUP($B11,'BaseLine Data'!$B9:$AQ21,4,FALSE)</f>
        <v>2032</v>
      </c>
      <c r="F11" s="11">
        <f>VLOOKUP($B11,'BaseLine Data'!$B9:$AQ21,2,FALSE)</f>
        <v>1</v>
      </c>
      <c r="G11" s="11">
        <f>VLOOKUP($B11,'BaseLine Data'!$B9:$AQ21,6,FALSE)</f>
        <v>1</v>
      </c>
      <c r="H11" s="11">
        <f>VLOOKUP($B11,'BaseLine Data'!$B9:$AQ21,7,FALSE)</f>
        <v>1859</v>
      </c>
      <c r="I11" s="11">
        <f>VLOOKUP($B11,'BaseLine Data'!$B9:$AQ21,13,FALSE)</f>
        <v>2032</v>
      </c>
      <c r="J11" s="11">
        <f>VLOOKUP($B11,'BaseLine Data'!$B9:$AQ21,14,FALSE)</f>
        <v>2747</v>
      </c>
      <c r="K11" s="11">
        <f>VLOOKUP($B11,'BaseLine Data'!$B9:$AQ21,19,FALSE)</f>
        <v>6155</v>
      </c>
      <c r="L11" s="11">
        <f>VLOOKUP($B11,'BaseLine Data'!$B9:$AQ21,20,FALSE)</f>
        <v>473</v>
      </c>
      <c r="M11" s="47">
        <f>VLOOKUP($B11,'BaseLine Data'!$B9:$AQ21,21,FALSE)</f>
        <v>0</v>
      </c>
      <c r="N11" s="47">
        <f>VLOOKUP($B11,'BaseLine Data'!$B9:$AQ21,22,FALSE)</f>
        <v>0.81966266173752311</v>
      </c>
      <c r="O11" s="47">
        <f>VLOOKUP($B11,'BaseLine Data'!$B9:$AQ21,25,FALSE)</f>
        <v>3.0290354330708662</v>
      </c>
      <c r="P11" s="47">
        <f>VLOOKUP($B11,'BaseLine Data'!$B9:$AQ21,26,FALSE)</f>
        <v>0.17218784128139789</v>
      </c>
      <c r="Q11" s="82">
        <f>VLOOKUP($B11,'BaseLine Data'!$B9:$AQ21,32,FALSE)</f>
        <v>12.38</v>
      </c>
      <c r="R11" s="48">
        <f t="shared" si="0"/>
        <v>4.5067346195850018</v>
      </c>
      <c r="S11" s="82">
        <f>VLOOKUP($B11,'BaseLine Data'!$B9:$AQ21,33,FALSE)</f>
        <v>41.35</v>
      </c>
      <c r="T11" s="82">
        <f>VLOOKUP($B11,'BaseLine Data'!$B9:$AQ21,34,FALSE)</f>
        <v>0</v>
      </c>
      <c r="U11" s="37">
        <f t="shared" si="1"/>
        <v>15.05278485620677</v>
      </c>
      <c r="V11" s="37">
        <f t="shared" si="2"/>
        <v>0</v>
      </c>
      <c r="W11" s="37">
        <f t="shared" si="3"/>
        <v>3.3400646203554119</v>
      </c>
      <c r="X11" s="37"/>
      <c r="Y11" s="48">
        <f>VLOOKUP($B11,'BaseLine Data'!$B$9:$CC$21,54,FALSE)*1000/J11</f>
        <v>4.5067346195850018</v>
      </c>
      <c r="Z11" s="48">
        <f>VLOOKUP($B11,'BaseLine Data'!$B$9:$CC$21,55,FALSE)*1000/J11</f>
        <v>3.9716053876956678</v>
      </c>
      <c r="AA11" s="48">
        <f>VLOOKUP($B11,'BaseLine Data'!$B$9:$CC$21,56,FALSE)*1000/J11</f>
        <v>0</v>
      </c>
      <c r="AB11" s="48">
        <f>VLOOKUP($B11,'BaseLine Data'!$B$9:$CC$21,57,FALSE)*1000/J11</f>
        <v>0</v>
      </c>
      <c r="AC11" s="48">
        <f>VLOOKUP($B11,'BaseLine Data'!$B$9:$CC$21,58,FALSE)*1000/J11</f>
        <v>15.05278485620677</v>
      </c>
      <c r="AD11" s="48">
        <f>VLOOKUP($B11,'BaseLine Data'!$B$9:$CC$21,59,FALSE)*1000/J11</f>
        <v>5.755369493993447</v>
      </c>
      <c r="AE11" s="48">
        <f>VLOOKUP($B11,'BaseLine Data'!$B$9:$CC$21,60,FALSE)*1000/J11</f>
        <v>0</v>
      </c>
      <c r="AF11" s="48">
        <f>VLOOKUP($B11,'BaseLine Data'!$B$9:$CC$21,61,FALSE)*1000/J11</f>
        <v>0</v>
      </c>
    </row>
    <row r="12" spans="1:33">
      <c r="A12" s="10" t="s">
        <v>24</v>
      </c>
      <c r="B12" s="11" t="s">
        <v>29</v>
      </c>
      <c r="C12" s="11">
        <f>VLOOKUP($B12,'BaseLine Data'!$B9:$AQ21,2,FALSE)</f>
        <v>1</v>
      </c>
      <c r="D12" s="11" t="str">
        <f>VLOOKUP($B12,'BaseLine Data'!$B9:$AY21,3,FALSE)</f>
        <v>Quincy</v>
      </c>
      <c r="E12" s="11">
        <f>VLOOKUP($B12,'BaseLine Data'!$B9:$AY21,4,FALSE)</f>
        <v>1808</v>
      </c>
      <c r="F12" s="11">
        <f>VLOOKUP($B12,'BaseLine Data'!$B9:$AQ21,2,FALSE)</f>
        <v>1</v>
      </c>
      <c r="G12" s="11">
        <f>VLOOKUP($B12,'BaseLine Data'!$B9:$AQ21,6,FALSE)</f>
        <v>1.5</v>
      </c>
      <c r="H12" s="11">
        <f>VLOOKUP($B12,'BaseLine Data'!$B9:$AQ21,7,FALSE)</f>
        <v>1905</v>
      </c>
      <c r="I12" s="11">
        <f>VLOOKUP($B12,'BaseLine Data'!$B9:$AQ21,13,FALSE)</f>
        <v>3484</v>
      </c>
      <c r="J12" s="11">
        <f>VLOOKUP($B12,'BaseLine Data'!$B9:$AQ21,14,FALSE)</f>
        <v>4576</v>
      </c>
      <c r="K12" s="11">
        <f>VLOOKUP($B12,'BaseLine Data'!$B9:$AQ21,19,FALSE)</f>
        <v>5050</v>
      </c>
      <c r="L12" s="11">
        <f>VLOOKUP($B12,'BaseLine Data'!$B9:$AQ21,20,FALSE)</f>
        <v>762</v>
      </c>
      <c r="M12" s="47">
        <f>VLOOKUP($B12,'BaseLine Data'!$B9:$AQ21,21,FALSE)</f>
        <v>18.53</v>
      </c>
      <c r="N12" s="47">
        <f>VLOOKUP($B12,'BaseLine Data'!$B9:$AQ21,22,FALSE)</f>
        <v>1.2579100863919002</v>
      </c>
      <c r="O12" s="47">
        <f>VLOOKUP($B12,'BaseLine Data'!$B9:$AQ21,25,FALSE)</f>
        <v>1.4494833524684272</v>
      </c>
      <c r="P12" s="47">
        <f>VLOOKUP($B12,'BaseLine Data'!$B9:$AQ21,26,FALSE)</f>
        <v>0.16652097902097901</v>
      </c>
      <c r="Q12" s="82">
        <f>VLOOKUP($B12,'BaseLine Data'!$B9:$AQ21,32,FALSE)</f>
        <v>29.67</v>
      </c>
      <c r="R12" s="48">
        <f t="shared" si="0"/>
        <v>6.4838286713286717</v>
      </c>
      <c r="S12" s="82">
        <f>VLOOKUP($B12,'BaseLine Data'!$B9:$AQ21,33,FALSE)</f>
        <v>69.75</v>
      </c>
      <c r="T12" s="82">
        <f>VLOOKUP($B12,'BaseLine Data'!$B9:$AQ21,34,FALSE)</f>
        <v>0</v>
      </c>
      <c r="U12" s="37">
        <f t="shared" si="1"/>
        <v>15.24256993006993</v>
      </c>
      <c r="V12" s="37">
        <f t="shared" si="2"/>
        <v>0</v>
      </c>
      <c r="W12" s="37">
        <f t="shared" si="3"/>
        <v>2.3508594539939329</v>
      </c>
      <c r="X12" s="37"/>
      <c r="Y12" s="48">
        <f>VLOOKUP($B12,'BaseLine Data'!$B$9:$CC$21,54,FALSE)*1000/J12</f>
        <v>3.6866258741258742</v>
      </c>
      <c r="Z12" s="48">
        <f>VLOOKUP($B12,'BaseLine Data'!$B$9:$CC$21,55,FALSE)*1000/J12</f>
        <v>3.19493006993007</v>
      </c>
      <c r="AA12" s="48">
        <f>VLOOKUP($B12,'BaseLine Data'!$B$9:$CC$21,56,FALSE)*1000/J12</f>
        <v>2.7972027972027971</v>
      </c>
      <c r="AB12" s="48">
        <f>VLOOKUP($B12,'BaseLine Data'!$B$9:$CC$21,57,FALSE)*1000/J12</f>
        <v>0</v>
      </c>
      <c r="AC12" s="48">
        <f>VLOOKUP($B12,'BaseLine Data'!$B$9:$CC$21,58,FALSE)*1000/J12</f>
        <v>12.314248251748252</v>
      </c>
      <c r="AD12" s="48">
        <f>VLOOKUP($B12,'BaseLine Data'!$B$9:$CC$21,59,FALSE)*1000/J12</f>
        <v>4.8361013986013983</v>
      </c>
      <c r="AE12" s="48">
        <f>VLOOKUP($B12,'BaseLine Data'!$B$9:$CC$21,60,FALSE)*1000/J12</f>
        <v>2.9283216783216783</v>
      </c>
      <c r="AF12" s="48">
        <f>VLOOKUP($B12,'BaseLine Data'!$B$9:$CC$21,61,FALSE)*1000/J12</f>
        <v>0</v>
      </c>
    </row>
    <row r="13" spans="1:33" ht="30">
      <c r="A13" s="10" t="s">
        <v>24</v>
      </c>
      <c r="B13" s="11" t="s">
        <v>26</v>
      </c>
      <c r="C13" s="11">
        <f>VLOOKUP($B13,'BaseLine Data'!$B9:$AQ21,2,FALSE)</f>
        <v>2</v>
      </c>
      <c r="D13" s="11" t="str">
        <f>VLOOKUP($B13,'BaseLine Data'!$B9:$AQ21,3,FALSE)</f>
        <v>Belmont</v>
      </c>
      <c r="E13" s="11">
        <f>VLOOKUP($B13,'BaseLine Data'!$B9:$AQ21,4,FALSE)</f>
        <v>2728</v>
      </c>
      <c r="F13" s="11">
        <f>VLOOKUP($B13,'BaseLine Data'!$B9:$AQ21,2,FALSE)</f>
        <v>2</v>
      </c>
      <c r="G13" s="11">
        <f>VLOOKUP($B13,'BaseLine Data'!$B9:$AQ21,6,FALSE)</f>
        <v>3</v>
      </c>
      <c r="H13" s="11">
        <f>VLOOKUP($B13,'BaseLine Data'!$B9:$AQ21,7,FALSE)</f>
        <v>1925</v>
      </c>
      <c r="I13" s="11">
        <f>VLOOKUP($B13,'BaseLine Data'!$B9:$AQ21,13,FALSE)</f>
        <v>3417</v>
      </c>
      <c r="J13" s="11">
        <f>VLOOKUP($B13,'BaseLine Data'!$B9:$AQ21,14,FALSE)</f>
        <v>4768</v>
      </c>
      <c r="K13" s="11">
        <f>VLOOKUP($B13,'BaseLine Data'!$B9:$AQ21,19,FALSE)</f>
        <v>5700</v>
      </c>
      <c r="L13" s="11">
        <f>VLOOKUP($B13,'BaseLine Data'!$B9:$AQ21,20,FALSE)</f>
        <v>590</v>
      </c>
      <c r="M13" s="47">
        <f>VLOOKUP($B13,'BaseLine Data'!$B9:$AQ21,21,FALSE)</f>
        <v>9.2687950566426363</v>
      </c>
      <c r="N13" s="47">
        <f>VLOOKUP($B13,'BaseLine Data'!$B9:$AQ21,22,FALSE)</f>
        <v>0.74204502578292031</v>
      </c>
      <c r="O13" s="47">
        <f>VLOOKUP($B13,'BaseLine Data'!$B9:$AQ21,25,FALSE)</f>
        <v>1.6681299385425812</v>
      </c>
      <c r="P13" s="47">
        <f>VLOOKUP($B13,'BaseLine Data'!$B9:$AQ21,26,FALSE)</f>
        <v>0.12374161073825503</v>
      </c>
      <c r="Q13" s="82">
        <f>VLOOKUP($B13,'BaseLine Data'!$B9:$AQ21,32,FALSE)</f>
        <v>28.94</v>
      </c>
      <c r="R13" s="48">
        <f t="shared" si="0"/>
        <v>6.0696308724832218</v>
      </c>
      <c r="S13" s="82">
        <f>VLOOKUP($B13,'BaseLine Data'!$B9:$AQ21,33,FALSE)</f>
        <v>77.39</v>
      </c>
      <c r="T13" s="82">
        <f>VLOOKUP($B13,'BaseLine Data'!$B9:$AQ21,34,FALSE)</f>
        <v>0</v>
      </c>
      <c r="U13" s="37">
        <f t="shared" si="1"/>
        <v>16.231124161073826</v>
      </c>
      <c r="V13" s="37">
        <f t="shared" si="2"/>
        <v>0</v>
      </c>
      <c r="W13" s="37">
        <f t="shared" si="3"/>
        <v>2.6741534208707671</v>
      </c>
      <c r="X13" s="37"/>
      <c r="Y13" s="48">
        <f>VLOOKUP($B13,'BaseLine Data'!$B$9:$CC$21,54,FALSE)*1000/J13</f>
        <v>4.3078859060402683</v>
      </c>
      <c r="Z13" s="48">
        <f>VLOOKUP($B13,'BaseLine Data'!$B$9:$CC$21,55,FALSE)*1000/J13</f>
        <v>2.6572986577181208</v>
      </c>
      <c r="AA13" s="48">
        <f>VLOOKUP($B13,'BaseLine Data'!$B$9:$CC$21,56,FALSE)*1000/J13</f>
        <v>1.761744966442953</v>
      </c>
      <c r="AB13" s="48">
        <f>VLOOKUP($B13,'BaseLine Data'!$B$9:$CC$21,57,FALSE)*1000/J13</f>
        <v>0</v>
      </c>
      <c r="AC13" s="48">
        <f>VLOOKUP($B13,'BaseLine Data'!$B$9:$CC$21,58,FALSE)*1000/J13</f>
        <v>14.385486577181208</v>
      </c>
      <c r="AD13" s="48">
        <f>VLOOKUP($B13,'BaseLine Data'!$B$9:$CC$21,59,FALSE)*1000/J13</f>
        <v>8.1690436241610733</v>
      </c>
      <c r="AE13" s="48">
        <f>VLOOKUP($B13,'BaseLine Data'!$B$9:$CC$21,60,FALSE)*1000/J13</f>
        <v>1.8435402684563758</v>
      </c>
      <c r="AF13" s="48">
        <f>VLOOKUP($B13,'BaseLine Data'!$B$9:$CC$21,61,FALSE)*1000/J13</f>
        <v>0</v>
      </c>
    </row>
    <row r="14" spans="1:33">
      <c r="A14" s="10" t="s">
        <v>24</v>
      </c>
      <c r="B14" s="11" t="s">
        <v>33</v>
      </c>
      <c r="C14" s="11">
        <f>VLOOKUP($B14,'BaseLine Data'!$B9:$AQ21,2,FALSE)</f>
        <v>3</v>
      </c>
      <c r="D14" s="11" t="str">
        <f>VLOOKUP($B14,'BaseLine Data'!$B9:$AQ21,3,FALSE)</f>
        <v>Jamaica Plain</v>
      </c>
      <c r="E14" s="11">
        <f>VLOOKUP($B14,'BaseLine Data'!$B9:$AQ21,4,FALSE)</f>
        <v>3885</v>
      </c>
      <c r="F14" s="11">
        <f>VLOOKUP($B14,'BaseLine Data'!$B9:$AQ21,2,FALSE)</f>
        <v>3</v>
      </c>
      <c r="G14" s="11">
        <f>VLOOKUP($B14,'BaseLine Data'!$B9:$AQ21,6,FALSE)</f>
        <v>3</v>
      </c>
      <c r="H14" s="11">
        <f>VLOOKUP($B14,'BaseLine Data'!$B9:$AQ21,7,FALSE)</f>
        <v>1907</v>
      </c>
      <c r="I14" s="11">
        <f>VLOOKUP($B14,'BaseLine Data'!$B9:$AQ21,13,FALSE)</f>
        <v>3885</v>
      </c>
      <c r="J14" s="11">
        <f>VLOOKUP($B14,'BaseLine Data'!$B9:$AQ21,14,FALSE)</f>
        <v>3885</v>
      </c>
      <c r="K14" s="11">
        <f>VLOOKUP($B14,'BaseLine Data'!$B9:$AQ21,19,FALSE)</f>
        <v>7729</v>
      </c>
      <c r="L14" s="11">
        <f>VLOOKUP($B14,'BaseLine Data'!$B9:$AQ21,20,FALSE)</f>
        <v>1802</v>
      </c>
      <c r="M14" s="47">
        <f>VLOOKUP($B14,'BaseLine Data'!$B9:$AQ21,21,FALSE)</f>
        <v>10.889494199971821</v>
      </c>
      <c r="N14" s="47">
        <f>VLOOKUP($B14,'BaseLine Data'!$B9:$AQ21,22,FALSE)</f>
        <v>2.5388625369839852</v>
      </c>
      <c r="O14" s="47">
        <f>VLOOKUP($B14,'BaseLine Data'!$B9:$AQ21,25,FALSE)</f>
        <v>1.9894465894465894</v>
      </c>
      <c r="P14" s="47">
        <f>VLOOKUP($B14,'BaseLine Data'!$B9:$AQ21,26,FALSE)</f>
        <v>0.46383526383526386</v>
      </c>
      <c r="Q14" s="82">
        <f>VLOOKUP($B14,'BaseLine Data'!$B9:$AQ21,32,FALSE)</f>
        <v>50.35</v>
      </c>
      <c r="R14" s="48">
        <f t="shared" si="0"/>
        <v>12.96010296010296</v>
      </c>
      <c r="S14" s="82">
        <f>VLOOKUP($B14,'BaseLine Data'!$B9:$AQ21,33,FALSE)</f>
        <v>75.52</v>
      </c>
      <c r="T14" s="82">
        <f>VLOOKUP($B14,'BaseLine Data'!$B9:$AQ21,34,FALSE)</f>
        <v>0</v>
      </c>
      <c r="U14" s="37">
        <f t="shared" si="1"/>
        <v>19.43886743886744</v>
      </c>
      <c r="V14" s="37">
        <f t="shared" si="2"/>
        <v>0</v>
      </c>
      <c r="W14" s="37">
        <f t="shared" si="3"/>
        <v>1.4999006951340614</v>
      </c>
      <c r="X14" s="37"/>
      <c r="Y14" s="48">
        <f>VLOOKUP($B14,'BaseLine Data'!$B$9:$CC$21,54,FALSE)*1000/J14</f>
        <v>2.561132561132561</v>
      </c>
      <c r="Z14" s="48">
        <f>VLOOKUP($B14,'BaseLine Data'!$B$9:$CC$21,55,FALSE)*1000/J14</f>
        <v>1.2612612612612613</v>
      </c>
      <c r="AA14" s="48">
        <f>VLOOKUP($B14,'BaseLine Data'!$B$9:$CC$21,56,FALSE)*1000/J14</f>
        <v>10.398970398970398</v>
      </c>
      <c r="AB14" s="48">
        <f>VLOOKUP($B14,'BaseLine Data'!$B$9:$CC$21,57,FALSE)*1000/J14</f>
        <v>0</v>
      </c>
      <c r="AC14" s="48">
        <f>VLOOKUP($B14,'BaseLine Data'!$B$9:$CC$21,58,FALSE)*1000/J14</f>
        <v>8.55083655083655</v>
      </c>
      <c r="AD14" s="48">
        <f>VLOOKUP($B14,'BaseLine Data'!$B$9:$CC$21,59,FALSE)*1000/J14</f>
        <v>5.6010296010296008</v>
      </c>
      <c r="AE14" s="48">
        <f>VLOOKUP($B14,'BaseLine Data'!$B$9:$CC$21,60,FALSE)*1000/J14</f>
        <v>10.888030888030888</v>
      </c>
      <c r="AF14" s="48">
        <f>VLOOKUP($B14,'BaseLine Data'!$B$9:$CC$21,61,FALSE)*1000/J14</f>
        <v>0</v>
      </c>
    </row>
    <row r="15" spans="1:33">
      <c r="A15" s="10" t="s">
        <v>24</v>
      </c>
      <c r="B15" s="11" t="s">
        <v>28</v>
      </c>
      <c r="C15" s="11">
        <f>VLOOKUP($B15,'BaseLine Data'!$B9:$AQ21,2,FALSE)</f>
        <v>1</v>
      </c>
      <c r="D15" s="11" t="str">
        <f>VLOOKUP($B15,'BaseLine Data'!$B9:$AQ21,3,FALSE)</f>
        <v>Milton</v>
      </c>
      <c r="E15" s="11">
        <f>VLOOKUP($B15,'BaseLine Data'!$B9:$AQ21,4,FALSE)</f>
        <v>1600</v>
      </c>
      <c r="F15" s="11">
        <f>VLOOKUP($B15,'BaseLine Data'!$B9:$AQ21,2,FALSE)</f>
        <v>1</v>
      </c>
      <c r="G15" s="11">
        <f>VLOOKUP($B15,'BaseLine Data'!$B9:$AQ21,6,FALSE)</f>
        <v>2</v>
      </c>
      <c r="H15" s="11">
        <f>VLOOKUP($B15,'BaseLine Data'!$B9:$AQ21,7,FALSE)</f>
        <v>1960</v>
      </c>
      <c r="I15" s="11">
        <f>VLOOKUP($B15,'BaseLine Data'!$B9:$AQ21,13,FALSE)</f>
        <v>2368</v>
      </c>
      <c r="J15" s="11">
        <f>VLOOKUP($B15,'BaseLine Data'!$B9:$AQ21,14,FALSE)</f>
        <v>2368</v>
      </c>
      <c r="K15" s="11">
        <f>VLOOKUP($B15,'BaseLine Data'!$B9:$AQ21,19,FALSE)</f>
        <v>1695</v>
      </c>
      <c r="L15" s="11">
        <f>VLOOKUP($B15,'BaseLine Data'!$B9:$AQ21,20,FALSE)</f>
        <v>584</v>
      </c>
      <c r="M15" s="47">
        <f>VLOOKUP($B15,'BaseLine Data'!$B9:$AQ21,21,FALSE)</f>
        <v>4.5285337703049304</v>
      </c>
      <c r="N15" s="47">
        <f>VLOOKUP($B15,'BaseLine Data'!$B9:$AQ21,22,FALSE)</f>
        <v>1.4326835012429675</v>
      </c>
      <c r="O15" s="47">
        <f>VLOOKUP($B15,'BaseLine Data'!$B9:$AQ21,25,FALSE)</f>
        <v>0.71579391891891897</v>
      </c>
      <c r="P15" s="47">
        <f>VLOOKUP($B15,'BaseLine Data'!$B9:$AQ21,26,FALSE)</f>
        <v>0.24662162162162163</v>
      </c>
      <c r="Q15" s="82">
        <f>VLOOKUP($B15,'BaseLine Data'!$B9:$AQ21,32,FALSE)</f>
        <v>26.05</v>
      </c>
      <c r="R15" s="48">
        <f t="shared" si="0"/>
        <v>11.000844594594595</v>
      </c>
      <c r="S15" s="82">
        <f>VLOOKUP($B15,'BaseLine Data'!$B9:$AQ21,33,FALSE)</f>
        <v>50.54</v>
      </c>
      <c r="T15" s="82">
        <f>VLOOKUP($B15,'BaseLine Data'!$B9:$AQ21,34,FALSE)</f>
        <v>0</v>
      </c>
      <c r="U15" s="37">
        <f t="shared" si="1"/>
        <v>21.342905405405407</v>
      </c>
      <c r="V15" s="37">
        <f t="shared" si="2"/>
        <v>0</v>
      </c>
      <c r="W15" s="37">
        <f t="shared" si="3"/>
        <v>1.9401151631477926</v>
      </c>
      <c r="X15" s="37"/>
      <c r="Y15" s="48">
        <f>VLOOKUP($B15,'BaseLine Data'!$B$9:$CC$21,54,FALSE)*1000/J15</f>
        <v>4.2863175675675675</v>
      </c>
      <c r="Z15" s="48">
        <f>VLOOKUP($B15,'BaseLine Data'!$B$9:$CC$21,55,FALSE)*1000/J15</f>
        <v>3.0405405405405403</v>
      </c>
      <c r="AA15" s="48">
        <f>VLOOKUP($B15,'BaseLine Data'!$B$9:$CC$21,56,FALSE)*1000/J15</f>
        <v>6.7145270270270272</v>
      </c>
      <c r="AB15" s="48">
        <f>VLOOKUP($B15,'BaseLine Data'!$B$9:$CC$21,57,FALSE)*1000/J15</f>
        <v>0</v>
      </c>
      <c r="AC15" s="48">
        <f>VLOOKUP($B15,'BaseLine Data'!$B$9:$CC$21,58,FALSE)*1000/J15</f>
        <v>14.315878378378379</v>
      </c>
      <c r="AD15" s="48">
        <f>VLOOKUP($B15,'BaseLine Data'!$B$9:$CC$21,59,FALSE)*1000/J15</f>
        <v>7.2043918918918921</v>
      </c>
      <c r="AE15" s="48">
        <f>VLOOKUP($B15,'BaseLine Data'!$B$9:$CC$21,60,FALSE)*1000/J15</f>
        <v>7.03125</v>
      </c>
      <c r="AF15" s="48">
        <f>VLOOKUP($B15,'BaseLine Data'!$B$9:$CC$21,61,FALSE)*1000/J15</f>
        <v>0</v>
      </c>
    </row>
    <row r="16" spans="1:33">
      <c r="A16" s="10" t="s">
        <v>24</v>
      </c>
      <c r="B16" s="11" t="s">
        <v>32</v>
      </c>
      <c r="C16" s="11">
        <f>VLOOKUP($B16,'BaseLine Data'!$B9:$AQ21,2,FALSE)</f>
        <v>1</v>
      </c>
      <c r="D16" s="11" t="str">
        <f>VLOOKUP($B16,'BaseLine Data'!$B9:$AQ21,3,FALSE)</f>
        <v>Newton</v>
      </c>
      <c r="E16" s="11">
        <f>VLOOKUP($B16,'BaseLine Data'!$B9:$AQ21,4,FALSE)</f>
        <v>1724</v>
      </c>
      <c r="F16" s="11">
        <f>VLOOKUP($B16,'BaseLine Data'!$B9:$AQ21,2,FALSE)</f>
        <v>1</v>
      </c>
      <c r="G16" s="11">
        <f>VLOOKUP($B16,'BaseLine Data'!$B9:$AQ21,6,FALSE)</f>
        <v>1</v>
      </c>
      <c r="H16" s="11">
        <f>VLOOKUP($B16,'BaseLine Data'!$B9:$AQ21,7,FALSE)</f>
        <v>1930</v>
      </c>
      <c r="I16" s="11">
        <f>VLOOKUP($B16,'BaseLine Data'!$B9:$AQ21,13,FALSE)</f>
        <v>1815</v>
      </c>
      <c r="J16" s="11">
        <f>VLOOKUP($B16,'BaseLine Data'!$B9:$AQ21,14,FALSE)</f>
        <v>2199</v>
      </c>
      <c r="K16" s="11">
        <f>VLOOKUP($B16,'BaseLine Data'!$B9:$AQ21,19,FALSE)</f>
        <v>3199</v>
      </c>
      <c r="L16" s="11">
        <f>VLOOKUP($B16,'BaseLine Data'!$B9:$AQ21,20,FALSE)</f>
        <v>1299</v>
      </c>
      <c r="M16" s="47">
        <f>VLOOKUP($B16,'BaseLine Data'!$B9:$AQ21,21,FALSE)</f>
        <v>10.192767245499441</v>
      </c>
      <c r="N16" s="47">
        <f>VLOOKUP($B16,'BaseLine Data'!$B9:$AQ21,22,FALSE)</f>
        <v>3.558254200146092</v>
      </c>
      <c r="O16" s="47">
        <f>VLOOKUP($B16,'BaseLine Data'!$B9:$AQ21,25,FALSE)</f>
        <v>1.7625344352617081</v>
      </c>
      <c r="P16" s="47">
        <f>VLOOKUP($B16,'BaseLine Data'!$B9:$AQ21,26,FALSE)</f>
        <v>0.59072305593451568</v>
      </c>
      <c r="Q16" s="82">
        <f>VLOOKUP($B16,'BaseLine Data'!$B9:$AQ21,32,FALSE)</f>
        <v>28.33</v>
      </c>
      <c r="R16" s="48">
        <f t="shared" si="0"/>
        <v>12.8831286948613</v>
      </c>
      <c r="S16" s="82">
        <f>VLOOKUP($B16,'BaseLine Data'!$B9:$AQ21,33,FALSE)</f>
        <v>55.42</v>
      </c>
      <c r="T16" s="82">
        <f>VLOOKUP($B16,'BaseLine Data'!$B9:$AQ21,34,FALSE)</f>
        <v>0</v>
      </c>
      <c r="U16" s="37">
        <f t="shared" si="1"/>
        <v>25.202364711232377</v>
      </c>
      <c r="V16" s="37">
        <f t="shared" si="2"/>
        <v>0</v>
      </c>
      <c r="W16" s="37">
        <f t="shared" si="3"/>
        <v>1.9562301447229087</v>
      </c>
      <c r="X16" s="37"/>
      <c r="Y16" s="48">
        <f>VLOOKUP($B16,'BaseLine Data'!$B$9:$CC$21,54,FALSE)*1000/J16</f>
        <v>5.106866757617099</v>
      </c>
      <c r="Z16" s="48">
        <f>VLOOKUP($B16,'BaseLine Data'!$B$9:$CC$21,55,FALSE)*1000/J16</f>
        <v>0</v>
      </c>
      <c r="AA16" s="48">
        <f>VLOOKUP($B16,'BaseLine Data'!$B$9:$CC$21,56,FALSE)*1000/J16</f>
        <v>7.7762619372442021</v>
      </c>
      <c r="AB16" s="48">
        <f>VLOOKUP($B16,'BaseLine Data'!$B$9:$CC$21,57,FALSE)*1000/J16</f>
        <v>0</v>
      </c>
      <c r="AC16" s="48">
        <f>VLOOKUP($B16,'BaseLine Data'!$B$9:$CC$21,58,FALSE)*1000/J16</f>
        <v>17.062301045929967</v>
      </c>
      <c r="AD16" s="48">
        <f>VLOOKUP($B16,'BaseLine Data'!$B$9:$CC$21,59,FALSE)*1000/J16</f>
        <v>0</v>
      </c>
      <c r="AE16" s="48">
        <f>VLOOKUP($B16,'BaseLine Data'!$B$9:$CC$21,60,FALSE)*1000/J16</f>
        <v>8.1400636653024101</v>
      </c>
      <c r="AF16" s="48">
        <f>VLOOKUP($B16,'BaseLine Data'!$B$9:$CC$21,61,FALSE)*1000/J16</f>
        <v>0</v>
      </c>
    </row>
    <row r="17" spans="1:34" ht="30">
      <c r="A17" s="10" t="s">
        <v>24</v>
      </c>
      <c r="B17" s="11" t="s">
        <v>30</v>
      </c>
      <c r="C17" s="11">
        <f>VLOOKUP($B17,'BaseLine Data'!$B9:$AQ21,2,FALSE)</f>
        <v>2</v>
      </c>
      <c r="D17" s="11" t="str">
        <f>VLOOKUP($B17,'BaseLine Data'!$B9:$AQ21,3,FALSE)</f>
        <v>Arlington</v>
      </c>
      <c r="E17" s="11">
        <f>VLOOKUP($B17,'BaseLine Data'!$B9:$AQ21,4,FALSE)</f>
        <v>2112</v>
      </c>
      <c r="F17" s="11">
        <f>VLOOKUP($B17,'BaseLine Data'!$B9:$AQ21,2,FALSE)</f>
        <v>2</v>
      </c>
      <c r="G17" s="11">
        <f>VLOOKUP($B17,'BaseLine Data'!$B9:$AQ21,6,FALSE)</f>
        <v>2</v>
      </c>
      <c r="H17" s="11">
        <f>VLOOKUP($B17,'BaseLine Data'!$B9:$AQ21,7,FALSE)</f>
        <v>1910</v>
      </c>
      <c r="I17" s="11">
        <f>VLOOKUP($B17,'BaseLine Data'!$B9:$AQ21,13,FALSE)</f>
        <v>2502</v>
      </c>
      <c r="J17" s="11">
        <f>VLOOKUP($B17,'BaseLine Data'!$B9:$AQ21,14,FALSE)</f>
        <v>3627</v>
      </c>
      <c r="K17" s="11">
        <f>VLOOKUP($B17,'BaseLine Data'!$B9:$AQ21,19,FALSE)</f>
        <v>8730</v>
      </c>
      <c r="L17" s="11">
        <f>VLOOKUP($B17,'BaseLine Data'!$B9:$AQ21,20,FALSE)</f>
        <v>3586</v>
      </c>
      <c r="M17" s="47">
        <f>VLOOKUP($B17,'BaseLine Data'!$B9:$AQ21,21,FALSE)</f>
        <v>25.986009822890313</v>
      </c>
      <c r="N17" s="47">
        <f>VLOOKUP($B17,'BaseLine Data'!$B9:$AQ21,22,FALSE)</f>
        <v>7.2571505666486775</v>
      </c>
      <c r="O17" s="47">
        <f>VLOOKUP($B17,'BaseLine Data'!$B9:$AQ21,25,FALSE)</f>
        <v>3.4892086330935252</v>
      </c>
      <c r="P17" s="47">
        <f>VLOOKUP($B17,'BaseLine Data'!$B9:$AQ21,26,FALSE)</f>
        <v>0.98869589192169838</v>
      </c>
      <c r="Q17" s="82">
        <f>VLOOKUP($B17,'BaseLine Data'!$B9:$AQ21,32,FALSE)</f>
        <v>44.42</v>
      </c>
      <c r="R17" s="48">
        <f t="shared" si="0"/>
        <v>12.24703611800386</v>
      </c>
      <c r="S17" s="82">
        <f>VLOOKUP($B17,'BaseLine Data'!$B9:$AQ21,33,FALSE)</f>
        <v>91.72</v>
      </c>
      <c r="T17" s="82">
        <f>VLOOKUP($B17,'BaseLine Data'!$B9:$AQ21,34,FALSE)</f>
        <v>0</v>
      </c>
      <c r="U17" s="37">
        <f t="shared" si="1"/>
        <v>25.288116901020128</v>
      </c>
      <c r="V17" s="37">
        <f t="shared" si="2"/>
        <v>0</v>
      </c>
      <c r="W17" s="37">
        <f t="shared" si="3"/>
        <v>2.064835659612787</v>
      </c>
      <c r="X17" s="37"/>
      <c r="Y17" s="48">
        <f>VLOOKUP($B17,'BaseLine Data'!$B$9:$CC$21,54,FALSE)*1000/J17</f>
        <v>5.4370002757099529</v>
      </c>
      <c r="Z17" s="48">
        <f>VLOOKUP($B17,'BaseLine Data'!$B$9:$CC$21,55,FALSE)*1000/J17</f>
        <v>0</v>
      </c>
      <c r="AA17" s="48">
        <f>VLOOKUP($B17,'BaseLine Data'!$B$9:$CC$21,56,FALSE)*1000/J17</f>
        <v>6.8100358422939067</v>
      </c>
      <c r="AB17" s="48">
        <f>VLOOKUP($B17,'BaseLine Data'!$B$9:$CC$21,57,FALSE)*1000/J17</f>
        <v>0</v>
      </c>
      <c r="AC17" s="48">
        <f>VLOOKUP($B17,'BaseLine Data'!$B$9:$CC$21,58,FALSE)*1000/J17</f>
        <v>18.15550041356493</v>
      </c>
      <c r="AD17" s="48">
        <f>VLOOKUP($B17,'BaseLine Data'!$B$9:$CC$21,59,FALSE)*1000/J17</f>
        <v>0</v>
      </c>
      <c r="AE17" s="48">
        <f>VLOOKUP($B17,'BaseLine Data'!$B$9:$CC$21,60,FALSE)*1000/J17</f>
        <v>7.1298593879239043</v>
      </c>
      <c r="AF17" s="48">
        <f>VLOOKUP($B17,'BaseLine Data'!$B$9:$CC$21,61,FALSE)*1000/J17</f>
        <v>0</v>
      </c>
    </row>
    <row r="18" spans="1:34">
      <c r="A18" s="10" t="s">
        <v>24</v>
      </c>
      <c r="B18" s="11" t="s">
        <v>37</v>
      </c>
      <c r="C18" s="11">
        <f>VLOOKUP($B18,'BaseLine Data'!$B9:$AQ21,2,FALSE)</f>
        <v>1</v>
      </c>
      <c r="D18" s="11" t="str">
        <f>VLOOKUP($B18,'BaseLine Data'!$B9:$AQ21,3,FALSE)</f>
        <v>Westford</v>
      </c>
      <c r="E18" s="11">
        <f>VLOOKUP($B18,'BaseLine Data'!$B9:$AQ21,4,FALSE)</f>
        <v>2906</v>
      </c>
      <c r="F18" s="11">
        <f>VLOOKUP($B18,'BaseLine Data'!$B9:$AQ21,2,FALSE)</f>
        <v>1</v>
      </c>
      <c r="G18" s="11">
        <f>VLOOKUP($B18,'BaseLine Data'!$B9:$AQ21,6,FALSE)</f>
        <v>2</v>
      </c>
      <c r="H18" s="11">
        <f>VLOOKUP($B18,'BaseLine Data'!$B9:$AQ21,7,FALSE)</f>
        <v>1993</v>
      </c>
      <c r="I18" s="11">
        <f>VLOOKUP($B18,'BaseLine Data'!$B9:$AQ21,13,FALSE)</f>
        <v>2906</v>
      </c>
      <c r="J18" s="11">
        <f>VLOOKUP($B18,'BaseLine Data'!$B9:$AQ21,14,FALSE)</f>
        <v>3955</v>
      </c>
      <c r="K18" s="11">
        <f>VLOOKUP($B18,'BaseLine Data'!$B9:$AQ21,19,FALSE)</f>
        <v>2592</v>
      </c>
      <c r="L18" s="11">
        <f>VLOOKUP($B18,'BaseLine Data'!$B9:$AQ21,20,FALSE)</f>
        <v>930</v>
      </c>
      <c r="M18" s="47">
        <f>VLOOKUP($B18,'BaseLine Data'!$B9:$AQ21,21,FALSE)</f>
        <v>4.8259169614596908</v>
      </c>
      <c r="N18" s="47">
        <f>VLOOKUP($B18,'BaseLine Data'!$B9:$AQ21,22,FALSE)</f>
        <v>1.2546374367622262</v>
      </c>
      <c r="O18" s="47">
        <f>VLOOKUP($B18,'BaseLine Data'!$B9:$AQ21,25,FALSE)</f>
        <v>0.89194769442532695</v>
      </c>
      <c r="P18" s="47">
        <f>VLOOKUP($B18,'BaseLine Data'!$B9:$AQ21,26,FALSE)</f>
        <v>0.23514538558786346</v>
      </c>
      <c r="Q18" s="82">
        <f>VLOOKUP($B18,'BaseLine Data'!$B9:$AQ21,32,FALSE)</f>
        <v>56.66</v>
      </c>
      <c r="R18" s="48">
        <f t="shared" si="0"/>
        <v>14.326169405815424</v>
      </c>
      <c r="S18" s="82">
        <f>VLOOKUP($B18,'BaseLine Data'!$B9:$AQ21,33,FALSE)</f>
        <v>103.25</v>
      </c>
      <c r="T18" s="82">
        <f>VLOOKUP($B18,'BaseLine Data'!$B9:$AQ21,34,FALSE)</f>
        <v>0</v>
      </c>
      <c r="U18" s="37">
        <f t="shared" si="1"/>
        <v>26.106194690265486</v>
      </c>
      <c r="V18" s="37">
        <f t="shared" si="2"/>
        <v>0</v>
      </c>
      <c r="W18" s="37">
        <f t="shared" si="3"/>
        <v>1.822273208612778</v>
      </c>
      <c r="X18" s="37"/>
      <c r="Y18" s="48">
        <f>VLOOKUP($B18,'BaseLine Data'!$B$9:$CC$21,54,FALSE)*1000/J18</f>
        <v>4.8445006321112514</v>
      </c>
      <c r="Z18" s="48">
        <f>VLOOKUP($B18,'BaseLine Data'!$B$9:$CC$21,55,FALSE)*1000/J18</f>
        <v>0</v>
      </c>
      <c r="AA18" s="48">
        <f>VLOOKUP($B18,'BaseLine Data'!$B$9:$CC$21,56,FALSE)*1000/J18</f>
        <v>9.4816687737041718</v>
      </c>
      <c r="AB18" s="48">
        <f>VLOOKUP($B18,'BaseLine Data'!$B$9:$CC$21,57,FALSE)*1000/J18</f>
        <v>0</v>
      </c>
      <c r="AC18" s="48">
        <f>VLOOKUP($B18,'BaseLine Data'!$B$9:$CC$21,58,FALSE)*1000/J18</f>
        <v>16.176991150442479</v>
      </c>
      <c r="AD18" s="48">
        <f>VLOOKUP($B18,'BaseLine Data'!$B$9:$CC$21,59,FALSE)*1000/J18</f>
        <v>0</v>
      </c>
      <c r="AE18" s="48">
        <f>VLOOKUP($B18,'BaseLine Data'!$B$9:$CC$21,60,FALSE)*1000/J18</f>
        <v>9.9266750948166873</v>
      </c>
      <c r="AF18" s="48">
        <f>VLOOKUP($B18,'BaseLine Data'!$B$9:$CC$21,61,FALSE)*1000/J18</f>
        <v>0</v>
      </c>
    </row>
    <row r="19" spans="1:34" ht="30">
      <c r="A19" s="10" t="s">
        <v>31</v>
      </c>
      <c r="B19" s="11" t="s">
        <v>38</v>
      </c>
      <c r="C19" s="11">
        <f>VLOOKUP($B19,'BaseLine Data'!$B9:$AQ21,2,FALSE)</f>
        <v>1</v>
      </c>
      <c r="D19" s="11" t="str">
        <f>VLOOKUP($B19,'BaseLine Data'!$B9:$AQ21,3,FALSE)</f>
        <v>Gloucester</v>
      </c>
      <c r="E19" s="11">
        <f>VLOOKUP($B19,'BaseLine Data'!$B9:$AQ21,4,FALSE)</f>
        <v>2171</v>
      </c>
      <c r="F19" s="11">
        <f>VLOOKUP($B19,'BaseLine Data'!$B9:$AQ21,2,FALSE)</f>
        <v>1</v>
      </c>
      <c r="G19" s="11">
        <f>VLOOKUP($B19,'BaseLine Data'!$B9:$AQ21,6,FALSE)</f>
        <v>2</v>
      </c>
      <c r="H19" s="11">
        <f>VLOOKUP($B19,'BaseLine Data'!$B9:$AQ21,7,FALSE)</f>
        <v>1920</v>
      </c>
      <c r="I19" s="11">
        <f>VLOOKUP($B19,'BaseLine Data'!$B9:$AQ21,13,FALSE)</f>
        <v>2171</v>
      </c>
      <c r="J19" s="11">
        <f>VLOOKUP($B19,'BaseLine Data'!$B9:$AQ21,14,FALSE)</f>
        <v>2424</v>
      </c>
      <c r="K19" s="11">
        <f>VLOOKUP($B19,'BaseLine Data'!$B9:$AQ21,19,FALSE)</f>
        <v>2258</v>
      </c>
      <c r="L19" s="11">
        <f>VLOOKUP($B19,'BaseLine Data'!$B9:$AQ21,20,FALSE)</f>
        <v>235</v>
      </c>
      <c r="M19" s="47" t="e">
        <f>VLOOKUP($B19,'BaseLine Data'!$B9:$AQ21,21,FALSE)</f>
        <v>#DIV/0!</v>
      </c>
      <c r="N19" s="47">
        <f>VLOOKUP($B19,'BaseLine Data'!$B9:$AQ21,22,FALSE)</f>
        <v>0.60554004724071286</v>
      </c>
      <c r="O19" s="47">
        <f>VLOOKUP($B19,'BaseLine Data'!$B9:$AQ21,25,FALSE)</f>
        <v>1.0400736987563335</v>
      </c>
      <c r="P19" s="47">
        <f>VLOOKUP($B19,'BaseLine Data'!$B9:$AQ21,26,FALSE)</f>
        <v>9.6947194719471941E-2</v>
      </c>
      <c r="Q19" s="82">
        <f>VLOOKUP($B19,'BaseLine Data'!$B9:$AQ21,32,FALSE)</f>
        <v>19.55</v>
      </c>
      <c r="R19" s="48">
        <f t="shared" si="0"/>
        <v>8.0651815181518156</v>
      </c>
      <c r="S19" s="82">
        <f>VLOOKUP($B19,'BaseLine Data'!$B9:$AQ21,33,FALSE)</f>
        <v>65.28</v>
      </c>
      <c r="T19" s="82">
        <f>VLOOKUP($B19,'BaseLine Data'!$B9:$AQ21,34,FALSE)</f>
        <v>0</v>
      </c>
      <c r="U19" s="37">
        <f t="shared" si="1"/>
        <v>26.93069306930693</v>
      </c>
      <c r="V19" s="37">
        <f t="shared" si="2"/>
        <v>0</v>
      </c>
      <c r="W19" s="37">
        <f t="shared" si="3"/>
        <v>3.3391304347826085</v>
      </c>
      <c r="X19" s="37"/>
      <c r="Y19" s="48">
        <f>VLOOKUP($B19,'BaseLine Data'!$B$9:$CC$21,54,FALSE)*1000/J19</f>
        <v>8.0651815181518156</v>
      </c>
      <c r="Z19" s="48">
        <f>VLOOKUP($B19,'BaseLine Data'!$B$9:$CC$21,55,FALSE)*1000/J19</f>
        <v>0</v>
      </c>
      <c r="AA19" s="48">
        <f>VLOOKUP($B19,'BaseLine Data'!$B$9:$CC$21,56,FALSE)*1000/J19</f>
        <v>0</v>
      </c>
      <c r="AB19" s="48">
        <f>VLOOKUP($B19,'BaseLine Data'!$B$9:$CC$21,57,FALSE)*1000/J19</f>
        <v>0</v>
      </c>
      <c r="AC19" s="48">
        <f>VLOOKUP($B19,'BaseLine Data'!$B$9:$CC$21,58,FALSE)*1000/J19</f>
        <v>26.93069306930693</v>
      </c>
      <c r="AD19" s="48">
        <f>VLOOKUP($B19,'BaseLine Data'!$B$9:$CC$21,59,FALSE)*1000/J19</f>
        <v>0</v>
      </c>
      <c r="AE19" s="48">
        <f>VLOOKUP($B19,'BaseLine Data'!$B$9:$CC$21,60,FALSE)*1000/J19</f>
        <v>0</v>
      </c>
      <c r="AF19" s="48">
        <f>VLOOKUP($B19,'BaseLine Data'!$B$9:$CC$21,61,FALSE)*1000/J19</f>
        <v>0</v>
      </c>
    </row>
    <row r="20" spans="1:34">
      <c r="A20" s="10" t="s">
        <v>24</v>
      </c>
      <c r="B20" s="11" t="s">
        <v>27</v>
      </c>
      <c r="C20" s="11">
        <f>VLOOKUP($B20,'BaseLine Data'!$B9:$AQ21,2,FALSE)</f>
        <v>1</v>
      </c>
      <c r="D20" s="11" t="str">
        <f>VLOOKUP($B20,'BaseLine Data'!$B9:$AQ21,3,FALSE)</f>
        <v>Millbury</v>
      </c>
      <c r="E20" s="11">
        <f>VLOOKUP($B20,'BaseLine Data'!$B9:$AQ21,4,FALSE)</f>
        <v>1100</v>
      </c>
      <c r="F20" s="11">
        <f>VLOOKUP($B20,'BaseLine Data'!$B9:$AQ21,2,FALSE)</f>
        <v>1</v>
      </c>
      <c r="G20" s="11">
        <f>VLOOKUP($B20,'BaseLine Data'!$B9:$AQ21,6,FALSE)</f>
        <v>1.5</v>
      </c>
      <c r="H20" s="11">
        <f>VLOOKUP($B20,'BaseLine Data'!$B9:$AQ21,7,FALSE)</f>
        <v>1953</v>
      </c>
      <c r="I20" s="11">
        <f>VLOOKUP($B20,'BaseLine Data'!$B9:$AQ21,13,FALSE)</f>
        <v>1868</v>
      </c>
      <c r="J20" s="11">
        <f>VLOOKUP($B20,'BaseLine Data'!$B9:$AQ21,14,FALSE)</f>
        <v>1868</v>
      </c>
      <c r="K20" s="11">
        <f>VLOOKUP($B20,'BaseLine Data'!$B9:$AQ21,19,FALSE)</f>
        <v>2860</v>
      </c>
      <c r="L20" s="11">
        <f>VLOOKUP($B20,'BaseLine Data'!$B9:$AQ21,20,FALSE)</f>
        <v>402</v>
      </c>
      <c r="M20" s="47">
        <f>VLOOKUP($B20,'BaseLine Data'!$B9:$AQ21,21,FALSE)</f>
        <v>10.4</v>
      </c>
      <c r="N20" s="47">
        <f>VLOOKUP($B20,'BaseLine Data'!$B9:$AQ21,22,FALSE)</f>
        <v>1.4188235294117648</v>
      </c>
      <c r="O20" s="47">
        <f>VLOOKUP($B20,'BaseLine Data'!$B9:$AQ21,25,FALSE)</f>
        <v>1.5310492505353319</v>
      </c>
      <c r="P20" s="47">
        <f>VLOOKUP($B20,'BaseLine Data'!$B9:$AQ21,26,FALSE)</f>
        <v>0.21520342612419699</v>
      </c>
      <c r="Q20" s="82">
        <f>VLOOKUP($B20,'BaseLine Data'!$B9:$AQ21,32,FALSE)</f>
        <v>21.26</v>
      </c>
      <c r="R20" s="48">
        <f t="shared" si="0"/>
        <v>11.381156316916488</v>
      </c>
      <c r="S20" s="82">
        <f>VLOOKUP($B20,'BaseLine Data'!$B9:$AQ21,33,FALSE)</f>
        <v>62.9</v>
      </c>
      <c r="T20" s="82">
        <f>VLOOKUP($B20,'BaseLine Data'!$B9:$AQ21,34,FALSE)</f>
        <v>0</v>
      </c>
      <c r="U20" s="37">
        <f t="shared" si="1"/>
        <v>33.672376873661669</v>
      </c>
      <c r="V20" s="37">
        <f t="shared" si="2"/>
        <v>0</v>
      </c>
      <c r="W20" s="37">
        <f t="shared" si="3"/>
        <v>2.9586077140169329</v>
      </c>
      <c r="X20" s="37"/>
      <c r="Y20" s="48">
        <f>VLOOKUP($B20,'BaseLine Data'!$B$9:$CC$21,54,FALSE)*1000/J20</f>
        <v>9.5235546038543895</v>
      </c>
      <c r="Z20" s="48">
        <f>VLOOKUP($B20,'BaseLine Data'!$B$9:$CC$21,55,FALSE)*1000/J20</f>
        <v>0</v>
      </c>
      <c r="AA20" s="48">
        <f>VLOOKUP($B20,'BaseLine Data'!$B$9:$CC$21,56,FALSE)*1000/J20</f>
        <v>1.3650963597430408</v>
      </c>
      <c r="AB20" s="48">
        <f>VLOOKUP($B20,'BaseLine Data'!$B$9:$CC$21,57,FALSE)*1000/J20</f>
        <v>0.49785867237687365</v>
      </c>
      <c r="AC20" s="48">
        <f>VLOOKUP($B20,'BaseLine Data'!$B$9:$CC$21,58,FALSE)*1000/J20</f>
        <v>31.798715203426124</v>
      </c>
      <c r="AD20" s="48">
        <f>VLOOKUP($B20,'BaseLine Data'!$B$9:$CC$21,59,FALSE)*1000/J20</f>
        <v>0</v>
      </c>
      <c r="AE20" s="48">
        <f>VLOOKUP($B20,'BaseLine Data'!$B$9:$CC$21,60,FALSE)*1000/J20</f>
        <v>1.3758029978586723</v>
      </c>
      <c r="AF20" s="48">
        <f>VLOOKUP($B20,'BaseLine Data'!$B$9:$CC$21,61,FALSE)*1000/J20</f>
        <v>0.49785867237687365</v>
      </c>
    </row>
    <row r="21" spans="1:34" ht="90">
      <c r="A21" s="10" t="s">
        <v>24</v>
      </c>
      <c r="B21" s="11" t="s">
        <v>35</v>
      </c>
      <c r="C21" s="11">
        <f>VLOOKUP($B21,'BaseLine Data'!$B9:$AQ21,2,FALSE)</f>
        <v>1</v>
      </c>
      <c r="D21" s="11" t="str">
        <f>VLOOKUP($B21,'BaseLine Data'!$B9:$AQ21,3,FALSE)</f>
        <v>Lancaster</v>
      </c>
      <c r="E21" s="11">
        <f>VLOOKUP($B21,'BaseLine Data'!$B9:$AQ21,4,FALSE)</f>
        <v>908</v>
      </c>
      <c r="F21" s="11">
        <f>VLOOKUP($B21,'BaseLine Data'!$B9:$AQ21,2,FALSE)</f>
        <v>1</v>
      </c>
      <c r="G21" s="11">
        <f>VLOOKUP($B21,'BaseLine Data'!$B9:$AQ21,6,FALSE)</f>
        <v>2</v>
      </c>
      <c r="H21" s="11">
        <f>VLOOKUP($B21,'BaseLine Data'!$B9:$AQ21,7,FALSE)</f>
        <v>1900</v>
      </c>
      <c r="I21" s="11">
        <f>VLOOKUP($B21,'BaseLine Data'!$B9:$AQ21,13,FALSE)</f>
        <v>980</v>
      </c>
      <c r="J21" s="11">
        <f>VLOOKUP($B21,'BaseLine Data'!$B9:$AQ21,14,FALSE)</f>
        <v>1440</v>
      </c>
      <c r="K21" s="11">
        <f>VLOOKUP($B21,'BaseLine Data'!$B9:$AQ21,19,FALSE)</f>
        <v>4254</v>
      </c>
      <c r="L21" s="11">
        <f>VLOOKUP($B21,'BaseLine Data'!$B9:$AQ21,20,FALSE)</f>
        <v>293</v>
      </c>
      <c r="M21" s="47">
        <f>VLOOKUP($B21,'BaseLine Data'!$B9:$AQ21,21,FALSE)</f>
        <v>36.050847457627121</v>
      </c>
      <c r="N21" s="47">
        <f>VLOOKUP($B21,'BaseLine Data'!$B9:$AQ21,22,FALSE)</f>
        <v>1.4250972762645915</v>
      </c>
      <c r="O21" s="47">
        <f>VLOOKUP($B21,'BaseLine Data'!$B9:$AQ21,25,FALSE)</f>
        <v>4.3408163265306126</v>
      </c>
      <c r="P21" s="47">
        <f>VLOOKUP($B21,'BaseLine Data'!$B9:$AQ21,26,FALSE)</f>
        <v>0.20347222222222222</v>
      </c>
      <c r="Q21" s="82">
        <f>VLOOKUP($B21,'BaseLine Data'!$B9:$AQ21,32,FALSE)</f>
        <v>22.26</v>
      </c>
      <c r="R21" s="48">
        <f t="shared" si="0"/>
        <v>15.458333333333334</v>
      </c>
      <c r="S21" s="82">
        <f>VLOOKUP($B21,'BaseLine Data'!$B9:$AQ21,33,FALSE)</f>
        <v>50.03</v>
      </c>
      <c r="T21" s="82">
        <f>VLOOKUP($B21,'BaseLine Data'!$B9:$AQ21,34,FALSE)</f>
        <v>0</v>
      </c>
      <c r="U21" s="37">
        <f t="shared" si="1"/>
        <v>34.743055555555557</v>
      </c>
      <c r="V21" s="37">
        <f t="shared" si="2"/>
        <v>0</v>
      </c>
      <c r="W21" s="37">
        <f t="shared" si="3"/>
        <v>2.2475292003593887</v>
      </c>
      <c r="X21" s="37"/>
      <c r="Y21" s="48">
        <f>VLOOKUP($B21,'BaseLine Data'!$B$9:$CC$21,54,FALSE)*1000/J21</f>
        <v>8.0972222222222214</v>
      </c>
      <c r="Z21" s="48">
        <f>VLOOKUP($B21,'BaseLine Data'!$B$9:$CC$21,55,FALSE)*1000/J21</f>
        <v>4.9375</v>
      </c>
      <c r="AA21" s="48">
        <f>VLOOKUP($B21,'BaseLine Data'!$B$9:$CC$21,56,FALSE)*1000/J21</f>
        <v>7.3611111111111107</v>
      </c>
      <c r="AB21" s="48">
        <f>VLOOKUP($B21,'BaseLine Data'!$B$9:$CC$21,57,FALSE)*1000/J21</f>
        <v>0</v>
      </c>
      <c r="AC21" s="48">
        <f>VLOOKUP($B21,'BaseLine Data'!$B$9:$CC$21,58,FALSE)*1000/J21</f>
        <v>27.034722222222221</v>
      </c>
      <c r="AD21" s="48">
        <f>VLOOKUP($B21,'BaseLine Data'!$B$9:$CC$21,59,FALSE)*1000/J21</f>
        <v>15.479166666666666</v>
      </c>
      <c r="AE21" s="48">
        <f>VLOOKUP($B21,'BaseLine Data'!$B$9:$CC$21,60,FALSE)*1000/J21</f>
        <v>7.708333333333333</v>
      </c>
      <c r="AF21" s="48">
        <f>VLOOKUP($B21,'BaseLine Data'!$B$9:$CC$21,61,FALSE)*1000/J21</f>
        <v>0</v>
      </c>
    </row>
    <row r="22" spans="1:34">
      <c r="U22" s="37">
        <f>AVERAGEA(U10:U21)</f>
        <v>22.744508614343633</v>
      </c>
      <c r="W22" s="37">
        <f>AVERAGEA(W9:W21)</f>
        <v>2.2475936483990679</v>
      </c>
      <c r="X22" s="37"/>
      <c r="Y22" s="82"/>
      <c r="Z22" s="82"/>
      <c r="AA22" s="82"/>
      <c r="AB22" s="82"/>
      <c r="AC22" s="82"/>
      <c r="AD22" s="82"/>
      <c r="AE22" s="82"/>
      <c r="AF22" s="82"/>
    </row>
    <row r="23" spans="1:34">
      <c r="B23" s="39"/>
      <c r="J23" s="38"/>
      <c r="L23" s="37"/>
      <c r="M23" s="35"/>
      <c r="N23" s="37"/>
      <c r="P23" s="35"/>
    </row>
    <row r="24" spans="1:34">
      <c r="B24" s="39"/>
      <c r="L24" s="37"/>
      <c r="M24" s="37"/>
      <c r="N24" s="37"/>
    </row>
    <row r="25" spans="1:34">
      <c r="B25" s="39"/>
      <c r="L25" s="37"/>
      <c r="M25" s="35"/>
      <c r="N25" s="37"/>
    </row>
    <row r="26" spans="1:34">
      <c r="B26" s="39"/>
      <c r="L26" s="37"/>
      <c r="M26" s="37"/>
      <c r="N26" s="37"/>
      <c r="Y26" s="37"/>
    </row>
    <row r="30" spans="1:34">
      <c r="Z30" t="s">
        <v>186</v>
      </c>
      <c r="AC30" t="s">
        <v>187</v>
      </c>
      <c r="AF30" t="s">
        <v>188</v>
      </c>
    </row>
    <row r="31" spans="1:34" ht="120">
      <c r="Z31" s="55" t="str">
        <f>Y7</f>
        <v>6months post-retrofit electricity site MMBtu</v>
      </c>
      <c r="AA31" s="55" t="str">
        <f>AA7</f>
        <v>6months post-retrofit gas or propanesite MMBtu</v>
      </c>
      <c r="AB31" s="55" t="str">
        <f>AB7</f>
        <v>6months post-retrofit others site MMBtu</v>
      </c>
      <c r="AC31" s="55" t="str">
        <f>AC7</f>
        <v>6 months post-retrofit electricity source MMBtu</v>
      </c>
      <c r="AD31" s="55" t="str">
        <f>AE7</f>
        <v>6 months post-retrofit natural gas or propane source MMBtu</v>
      </c>
      <c r="AE31" s="55" t="str">
        <f>AF7</f>
        <v>6 months post-retrofit other source MMBtu</v>
      </c>
      <c r="AF31" s="55"/>
      <c r="AG31" s="55"/>
    </row>
    <row r="32" spans="1:34">
      <c r="Z32" t="s">
        <v>160</v>
      </c>
      <c r="AA32" t="s">
        <v>161</v>
      </c>
      <c r="AB32" t="s">
        <v>163</v>
      </c>
      <c r="AC32" t="s">
        <v>160</v>
      </c>
      <c r="AD32" t="s">
        <v>161</v>
      </c>
      <c r="AE32" t="s">
        <v>163</v>
      </c>
      <c r="AF32" t="s">
        <v>191</v>
      </c>
      <c r="AG32" t="s">
        <v>190</v>
      </c>
      <c r="AH32" t="s">
        <v>189</v>
      </c>
    </row>
    <row r="34" spans="24:34">
      <c r="X34" t="str">
        <f>D9</f>
        <v>Belchertown</v>
      </c>
      <c r="Y34" t="str">
        <f>D9</f>
        <v>Belchertown</v>
      </c>
      <c r="Z34">
        <f>Y9</f>
        <v>1.5836392239119035</v>
      </c>
      <c r="AA34">
        <f>AA9</f>
        <v>6.3345568956476139</v>
      </c>
      <c r="AB34">
        <f>AB9</f>
        <v>0</v>
      </c>
    </row>
    <row r="35" spans="24:34">
      <c r="X35" t="str">
        <f>D10</f>
        <v>Brookline</v>
      </c>
      <c r="AC35">
        <f>AC9</f>
        <v>5.291033036182486</v>
      </c>
      <c r="AD35">
        <f>AE9</f>
        <v>6.3974829575249084</v>
      </c>
      <c r="AE35">
        <f>AF9</f>
        <v>0</v>
      </c>
    </row>
    <row r="36" spans="24:34">
      <c r="X36" t="str">
        <f t="shared" ref="X36:X46" si="4">D11</f>
        <v>Northampton</v>
      </c>
      <c r="AF36">
        <f>AG9</f>
        <v>0</v>
      </c>
      <c r="AG36" s="37">
        <f>Z9</f>
        <v>0</v>
      </c>
      <c r="AH36" s="37">
        <v>0</v>
      </c>
    </row>
    <row r="37" spans="24:34">
      <c r="X37" t="str">
        <f t="shared" si="4"/>
        <v>Quincy</v>
      </c>
    </row>
    <row r="38" spans="24:34">
      <c r="X38" t="str">
        <f t="shared" si="4"/>
        <v>Belmont</v>
      </c>
      <c r="Y38" t="str">
        <f>D10</f>
        <v>Brookline</v>
      </c>
      <c r="Z38">
        <f>Y10</f>
        <v>1.9344675488342784</v>
      </c>
      <c r="AA38">
        <f>AA10</f>
        <v>6.8998109640831755</v>
      </c>
      <c r="AB38">
        <f>AB10</f>
        <v>0</v>
      </c>
    </row>
    <row r="39" spans="24:34">
      <c r="X39" t="str">
        <f t="shared" si="4"/>
        <v>Jamaica Plain</v>
      </c>
      <c r="AC39">
        <f>AC10</f>
        <v>6.4587271581600501</v>
      </c>
      <c r="AD39">
        <f>AE10</f>
        <v>7.2243226212980467</v>
      </c>
      <c r="AE39">
        <f>AF10</f>
        <v>0</v>
      </c>
    </row>
    <row r="40" spans="24:34">
      <c r="X40" t="str">
        <f t="shared" si="4"/>
        <v>Milton</v>
      </c>
      <c r="AF40">
        <f>AG10</f>
        <v>0</v>
      </c>
      <c r="AG40" s="37">
        <f>Z10</f>
        <v>0</v>
      </c>
      <c r="AH40" s="37">
        <v>0</v>
      </c>
    </row>
    <row r="41" spans="24:34">
      <c r="X41" t="str">
        <f t="shared" si="4"/>
        <v>Newton</v>
      </c>
    </row>
    <row r="42" spans="24:34">
      <c r="X42" t="str">
        <f t="shared" si="4"/>
        <v>Arlington</v>
      </c>
      <c r="Y42" t="str">
        <f>D11</f>
        <v>Northampton</v>
      </c>
      <c r="Z42">
        <f>Y11</f>
        <v>4.5067346195850018</v>
      </c>
      <c r="AA42">
        <f>AA11</f>
        <v>0</v>
      </c>
      <c r="AB42">
        <f>AB11</f>
        <v>0</v>
      </c>
    </row>
    <row r="43" spans="24:34">
      <c r="X43" t="str">
        <f t="shared" si="4"/>
        <v>Westford</v>
      </c>
      <c r="AC43">
        <f>AC11</f>
        <v>15.05278485620677</v>
      </c>
      <c r="AD43">
        <f>AE11</f>
        <v>0</v>
      </c>
      <c r="AE43">
        <f>AF11</f>
        <v>0</v>
      </c>
    </row>
    <row r="44" spans="24:34">
      <c r="X44" t="str">
        <f t="shared" si="4"/>
        <v>Gloucester</v>
      </c>
      <c r="AF44">
        <f>AG11</f>
        <v>0</v>
      </c>
      <c r="AG44" s="37">
        <f>Z11</f>
        <v>3.9716053876956678</v>
      </c>
      <c r="AH44" s="37">
        <f>AE11</f>
        <v>0</v>
      </c>
    </row>
    <row r="45" spans="24:34">
      <c r="X45" t="str">
        <f t="shared" si="4"/>
        <v>Millbury</v>
      </c>
    </row>
    <row r="46" spans="24:34">
      <c r="X46" t="str">
        <f t="shared" si="4"/>
        <v>Lancaster</v>
      </c>
      <c r="Y46" t="str">
        <f>D12</f>
        <v>Quincy</v>
      </c>
      <c r="Z46">
        <f>Y12</f>
        <v>3.6866258741258742</v>
      </c>
      <c r="AA46">
        <f>AA12</f>
        <v>2.7972027972027971</v>
      </c>
      <c r="AB46">
        <f>AB12</f>
        <v>0</v>
      </c>
    </row>
    <row r="47" spans="24:34">
      <c r="AC47">
        <f>AC12</f>
        <v>12.314248251748252</v>
      </c>
      <c r="AD47">
        <f>AE12</f>
        <v>2.9283216783216783</v>
      </c>
      <c r="AE47">
        <f>AF12</f>
        <v>0</v>
      </c>
    </row>
    <row r="48" spans="24:34">
      <c r="AF48">
        <f>AG12</f>
        <v>0</v>
      </c>
      <c r="AG48" s="37">
        <f>Z12</f>
        <v>3.19493006993007</v>
      </c>
      <c r="AH48" s="37">
        <f>AE12</f>
        <v>2.9283216783216783</v>
      </c>
    </row>
    <row r="50" spans="25:34">
      <c r="Y50" t="str">
        <f>D13</f>
        <v>Belmont</v>
      </c>
      <c r="Z50">
        <f>Y13</f>
        <v>4.3078859060402683</v>
      </c>
      <c r="AA50">
        <f>AA13</f>
        <v>1.761744966442953</v>
      </c>
      <c r="AB50">
        <f>AB13</f>
        <v>0</v>
      </c>
    </row>
    <row r="51" spans="25:34">
      <c r="AC51">
        <f>AC13</f>
        <v>14.385486577181208</v>
      </c>
      <c r="AD51">
        <f>AE13</f>
        <v>1.8435402684563758</v>
      </c>
      <c r="AE51">
        <f>AF13</f>
        <v>0</v>
      </c>
    </row>
    <row r="52" spans="25:34">
      <c r="AF52">
        <f>AG13</f>
        <v>0</v>
      </c>
      <c r="AG52" s="37">
        <f>Z13</f>
        <v>2.6572986577181208</v>
      </c>
      <c r="AH52" s="37">
        <f>AE13</f>
        <v>1.8435402684563758</v>
      </c>
    </row>
    <row r="54" spans="25:34">
      <c r="Y54" t="str">
        <f>D14</f>
        <v>Jamaica Plain</v>
      </c>
      <c r="Z54">
        <f>Y14</f>
        <v>2.561132561132561</v>
      </c>
      <c r="AA54">
        <f>AA14</f>
        <v>10.398970398970398</v>
      </c>
      <c r="AB54">
        <f>AB14</f>
        <v>0</v>
      </c>
    </row>
    <row r="55" spans="25:34">
      <c r="AC55">
        <f>AC14</f>
        <v>8.55083655083655</v>
      </c>
      <c r="AD55">
        <f>AE14</f>
        <v>10.888030888030888</v>
      </c>
      <c r="AE55">
        <f>AF14</f>
        <v>0</v>
      </c>
    </row>
    <row r="56" spans="25:34">
      <c r="AF56">
        <f>AG14</f>
        <v>0</v>
      </c>
      <c r="AG56" s="37">
        <f>Z14</f>
        <v>1.2612612612612613</v>
      </c>
      <c r="AH56" s="37">
        <f>AE14</f>
        <v>10.888030888030888</v>
      </c>
    </row>
    <row r="58" spans="25:34">
      <c r="Y58" t="str">
        <f>D15</f>
        <v>Milton</v>
      </c>
      <c r="Z58">
        <f>Y15</f>
        <v>4.2863175675675675</v>
      </c>
      <c r="AA58">
        <f>AA15</f>
        <v>6.7145270270270272</v>
      </c>
      <c r="AB58">
        <f>AB15</f>
        <v>0</v>
      </c>
    </row>
    <row r="59" spans="25:34">
      <c r="AC59">
        <f>AC15</f>
        <v>14.315878378378379</v>
      </c>
      <c r="AD59">
        <f>AE15</f>
        <v>7.03125</v>
      </c>
      <c r="AE59">
        <f>AF15</f>
        <v>0</v>
      </c>
    </row>
    <row r="60" spans="25:34">
      <c r="AF60">
        <f>AG15</f>
        <v>0</v>
      </c>
      <c r="AG60" s="37">
        <f>Z15</f>
        <v>3.0405405405405403</v>
      </c>
      <c r="AH60" s="37">
        <f>AE15</f>
        <v>7.03125</v>
      </c>
    </row>
    <row r="62" spans="25:34">
      <c r="Y62" t="str">
        <f>D16</f>
        <v>Newton</v>
      </c>
      <c r="Z62">
        <f>Y16</f>
        <v>5.106866757617099</v>
      </c>
      <c r="AA62">
        <f>AA16</f>
        <v>7.7762619372442021</v>
      </c>
      <c r="AB62">
        <f>AB16</f>
        <v>0</v>
      </c>
    </row>
    <row r="63" spans="25:34">
      <c r="AC63">
        <f>AC16</f>
        <v>17.062301045929967</v>
      </c>
      <c r="AD63">
        <f>AE16</f>
        <v>8.1400636653024101</v>
      </c>
      <c r="AE63">
        <f>AF16</f>
        <v>0</v>
      </c>
    </row>
    <row r="64" spans="25:34">
      <c r="AF64">
        <f>AG16</f>
        <v>0</v>
      </c>
      <c r="AG64" s="37">
        <f>Z16</f>
        <v>0</v>
      </c>
      <c r="AH64">
        <v>0</v>
      </c>
    </row>
    <row r="66" spans="25:34">
      <c r="Y66" t="str">
        <f>D17</f>
        <v>Arlington</v>
      </c>
      <c r="Z66">
        <f>Y17</f>
        <v>5.4370002757099529</v>
      </c>
      <c r="AA66">
        <f>AA17</f>
        <v>6.8100358422939067</v>
      </c>
      <c r="AB66">
        <f>AB17</f>
        <v>0</v>
      </c>
    </row>
    <row r="67" spans="25:34">
      <c r="AC67">
        <f>AC17</f>
        <v>18.15550041356493</v>
      </c>
      <c r="AD67">
        <f>AE17</f>
        <v>7.1298593879239043</v>
      </c>
      <c r="AE67">
        <f>AF17</f>
        <v>0</v>
      </c>
    </row>
    <row r="68" spans="25:34">
      <c r="AF68">
        <f>AG17</f>
        <v>0</v>
      </c>
      <c r="AG68" s="37">
        <f>Z17</f>
        <v>0</v>
      </c>
      <c r="AH68">
        <v>0</v>
      </c>
    </row>
    <row r="70" spans="25:34">
      <c r="Y70" t="str">
        <f>D18</f>
        <v>Westford</v>
      </c>
      <c r="Z70">
        <f>Y18</f>
        <v>4.8445006321112514</v>
      </c>
      <c r="AA70">
        <f>AA18</f>
        <v>9.4816687737041718</v>
      </c>
      <c r="AB70">
        <f>AB18</f>
        <v>0</v>
      </c>
    </row>
    <row r="71" spans="25:34">
      <c r="AC71">
        <f>AC18</f>
        <v>16.176991150442479</v>
      </c>
      <c r="AD71">
        <f>AE18</f>
        <v>9.9266750948166873</v>
      </c>
      <c r="AE71">
        <f>AF18</f>
        <v>0</v>
      </c>
    </row>
    <row r="72" spans="25:34">
      <c r="AF72">
        <f>AG18</f>
        <v>0</v>
      </c>
      <c r="AG72" s="37">
        <f>Z18</f>
        <v>0</v>
      </c>
      <c r="AH72">
        <v>0</v>
      </c>
    </row>
    <row r="74" spans="25:34">
      <c r="Y74" t="str">
        <f>D19</f>
        <v>Gloucester</v>
      </c>
      <c r="Z74">
        <f>Y19</f>
        <v>8.0651815181518156</v>
      </c>
      <c r="AA74">
        <f>AA19</f>
        <v>0</v>
      </c>
      <c r="AB74">
        <f>AB19</f>
        <v>0</v>
      </c>
    </row>
    <row r="75" spans="25:34">
      <c r="AC75">
        <f>AC19</f>
        <v>26.93069306930693</v>
      </c>
      <c r="AD75">
        <f>AE19</f>
        <v>0</v>
      </c>
      <c r="AE75">
        <f>AF19</f>
        <v>0</v>
      </c>
    </row>
    <row r="76" spans="25:34">
      <c r="AF76">
        <f>AG19</f>
        <v>0</v>
      </c>
      <c r="AG76" s="37">
        <f>Z19</f>
        <v>0</v>
      </c>
      <c r="AH76">
        <v>0</v>
      </c>
    </row>
    <row r="78" spans="25:34">
      <c r="Y78" t="str">
        <f>D20</f>
        <v>Millbury</v>
      </c>
      <c r="Z78">
        <f>Y20</f>
        <v>9.5235546038543895</v>
      </c>
      <c r="AA78">
        <f>AA20</f>
        <v>1.3650963597430408</v>
      </c>
      <c r="AB78">
        <f>AB20</f>
        <v>0.49785867237687365</v>
      </c>
    </row>
    <row r="79" spans="25:34">
      <c r="AC79">
        <f>AC20</f>
        <v>31.798715203426124</v>
      </c>
      <c r="AD79">
        <f>AE20</f>
        <v>1.3758029978586723</v>
      </c>
      <c r="AE79">
        <f>AF20</f>
        <v>0.49785867237687365</v>
      </c>
    </row>
    <row r="80" spans="25:34">
      <c r="AF80">
        <f>AG20</f>
        <v>0</v>
      </c>
      <c r="AG80" s="37">
        <f>Z20</f>
        <v>0</v>
      </c>
      <c r="AH80">
        <v>0</v>
      </c>
    </row>
    <row r="82" spans="25:34">
      <c r="Y82" t="str">
        <f>D21</f>
        <v>Lancaster</v>
      </c>
      <c r="Z82">
        <f>Y21</f>
        <v>8.0972222222222214</v>
      </c>
      <c r="AA82">
        <f>AA21</f>
        <v>7.3611111111111107</v>
      </c>
      <c r="AB82">
        <f>AB21</f>
        <v>0</v>
      </c>
    </row>
    <row r="83" spans="25:34">
      <c r="AC83">
        <f>AC21</f>
        <v>27.034722222222221</v>
      </c>
      <c r="AD83">
        <f>AE21</f>
        <v>7.708333333333333</v>
      </c>
      <c r="AE83">
        <f>AF21</f>
        <v>0</v>
      </c>
    </row>
    <row r="84" spans="25:34">
      <c r="AF84">
        <f>AG21</f>
        <v>0</v>
      </c>
      <c r="AG84" s="37">
        <f>Z21</f>
        <v>4.9375</v>
      </c>
      <c r="AH84" s="37">
        <f>AE21</f>
        <v>7.708333333333333</v>
      </c>
    </row>
  </sheetData>
  <sortState ref="B9:AC21">
    <sortCondition ref="U9:U21"/>
  </sortState>
  <dataValidations disablePrompts="1" count="2">
    <dataValidation type="list" allowBlank="1" showInputMessage="1" showErrorMessage="1" sqref="WUS9:WUS21 IG9:IG21 SC9:SC21 ABY9:ABY21 ALU9:ALU21 AVQ9:AVQ21 BFM9:BFM21 BPI9:BPI21 BZE9:BZE21 CJA9:CJA21 CSW9:CSW21 DCS9:DCS21 DMO9:DMO21 DWK9:DWK21 EGG9:EGG21 EQC9:EQC21 EZY9:EZY21 FJU9:FJU21 FTQ9:FTQ21 GDM9:GDM21 GNI9:GNI21 GXE9:GXE21 HHA9:HHA21 HQW9:HQW21 IAS9:IAS21 IKO9:IKO21 IUK9:IUK21 JEG9:JEG21 JOC9:JOC21 JXY9:JXY21 KHU9:KHU21 KRQ9:KRQ21 LBM9:LBM21 LLI9:LLI21 LVE9:LVE21 MFA9:MFA21 MOW9:MOW21 MYS9:MYS21 NIO9:NIO21 NSK9:NSK21 OCG9:OCG21 OMC9:OMC21 OVY9:OVY21 PFU9:PFU21 PPQ9:PPQ21 PZM9:PZM21 QJI9:QJI21 QTE9:QTE21 RDA9:RDA21 RMW9:RMW21 RWS9:RWS21 SGO9:SGO21 SQK9:SQK21 TAG9:TAG21 TKC9:TKC21 TTY9:TTY21 UDU9:UDU21 UNQ9:UNQ21 UXM9:UXM21 VHI9:VHI21 VRE9:VRE21 WBA9:WBA21 WKW9:WKW21">
      <formula1>'[1]Project Statistics'!$K$74:$K$79</formula1>
    </dataValidation>
    <dataValidation type="list" allowBlank="1" showInputMessage="1" showErrorMessage="1" sqref="WUT9:WUU21 IH9:II21 SD9:SE21 ABZ9:ACA21 ALV9:ALW21 AVR9:AVS21 BFN9:BFO21 BPJ9:BPK21 BZF9:BZG21 CJB9:CJC21 CSX9:CSY21 DCT9:DCU21 DMP9:DMQ21 DWL9:DWM21 EGH9:EGI21 EQD9:EQE21 EZZ9:FAA21 FJV9:FJW21 FTR9:FTS21 GDN9:GDO21 GNJ9:GNK21 GXF9:GXG21 HHB9:HHC21 HQX9:HQY21 IAT9:IAU21 IKP9:IKQ21 IUL9:IUM21 JEH9:JEI21 JOD9:JOE21 JXZ9:JYA21 KHV9:KHW21 KRR9:KRS21 LBN9:LBO21 LLJ9:LLK21 LVF9:LVG21 MFB9:MFC21 MOX9:MOY21 MYT9:MYU21 NIP9:NIQ21 NSL9:NSM21 OCH9:OCI21 OMD9:OME21 OVZ9:OWA21 PFV9:PFW21 PPR9:PPS21 PZN9:PZO21 QJJ9:QJK21 QTF9:QTG21 RDB9:RDC21 RMX9:RMY21 RWT9:RWU21 SGP9:SGQ21 SQL9:SQM21 TAH9:TAI21 TKD9:TKE21 TTZ9:TUA21 UDV9:UDW21 UNR9:UNS21 UXN9:UXO21 VHJ9:VHK21 VRF9:VRG21 WBB9:WBC21 WKX9:WKY21">
      <formula1>'[1]Project Statistics'!$M$74:$M$75</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dimension ref="A7:AH84"/>
  <sheetViews>
    <sheetView topLeftCell="B33" zoomScale="110" zoomScaleNormal="110" workbookViewId="0">
      <pane xSplit="1" topLeftCell="J1" activePane="topRight" state="frozen"/>
      <selection activeCell="B9" sqref="B9:X21"/>
      <selection pane="topRight" activeCell="AC7" sqref="AC7:AC21"/>
    </sheetView>
  </sheetViews>
  <sheetFormatPr defaultRowHeight="15"/>
  <cols>
    <col min="2" max="2" width="11.7109375" customWidth="1"/>
    <col min="3" max="3" width="8.7109375" customWidth="1"/>
    <col min="4" max="4" width="12.7109375" customWidth="1"/>
    <col min="6" max="6" width="11.5703125" customWidth="1"/>
    <col min="13" max="16" width="11.5703125" bestFit="1" customWidth="1"/>
    <col min="19" max="19" width="11.5703125" bestFit="1" customWidth="1"/>
  </cols>
  <sheetData>
    <row r="7" spans="1:31" ht="135.75" thickBot="1">
      <c r="B7" s="1" t="s">
        <v>0</v>
      </c>
      <c r="C7" s="11" t="str">
        <f>VLOOKUP($B7,'BaseLine Data'!$B7:$AQ21,2,FALSE)</f>
        <v>Number of Housing Units</v>
      </c>
      <c r="D7" s="11" t="str">
        <f>VLOOKUP($B7,'BaseLine Data'!$B7:$AQ21,3,FALSE)</f>
        <v>Location</v>
      </c>
      <c r="E7" s="11" t="str">
        <f>VLOOKUP($B7,'BaseLine Data'!$B7:$AQ21,4,FALSE)</f>
        <v>Pre-DER Cond. Floor Area
(sq.ft.)</v>
      </c>
      <c r="F7" s="11" t="str">
        <f>VLOOKUP($B7,'BaseLine Data'!$B7:$AQ21,2,FALSE)</f>
        <v>Number of Housing Units</v>
      </c>
      <c r="G7" s="11" t="str">
        <f>VLOOKUP($B7,'BaseLine Data'!$B7:$AQ21,6,FALSE)</f>
        <v>Stories</v>
      </c>
      <c r="H7" s="11" t="str">
        <f>VLOOKUP($B7,'BaseLine Data'!$B7:$AQ21,7,FALSE)</f>
        <v>Approx. Year Built</v>
      </c>
      <c r="I7" s="11" t="str">
        <f>VLOOKUP($B7,'BaseLine Data'!$B7:$AQ21,13,FALSE)</f>
        <v>Pre-DER Cond. Floor Area
(sq.ft.)</v>
      </c>
      <c r="J7" s="11" t="str">
        <f>VLOOKUP($B7,'BaseLine Data'!$B7:$AQ21,14,FALSE)</f>
        <v>Post-DER Con. Floor Area        (sq.ft.)</v>
      </c>
      <c r="K7" s="11" t="str">
        <f>VLOOKUP($B7,'BaseLine Data'!$B7:$AQ21,19,FALSE)</f>
        <v>Pre-DER   CFM 50</v>
      </c>
      <c r="L7" s="11" t="str">
        <f>VLOOKUP($B7,'BaseLine Data'!$B7:$AQ21,20,FALSE)</f>
        <v>Post-DER CFM 50</v>
      </c>
      <c r="M7" s="11" t="str">
        <f>VLOOKUP($B7,'BaseLine Data'!$B7:$AQ21,21,FALSE)</f>
        <v xml:space="preserve">Pre-DER   ACH 50 </v>
      </c>
      <c r="N7" s="11" t="str">
        <f>VLOOKUP($B7,'BaseLine Data'!$B7:$AQ21,22,FALSE)</f>
        <v xml:space="preserve">Post-DER ACH 50 </v>
      </c>
      <c r="O7" s="11" t="str">
        <f>VLOOKUP($B7,'BaseLine Data'!$B7:$AQ21,25,FALSE)</f>
        <v>Pre-DER CFM/sf Conditioned floor area</v>
      </c>
      <c r="P7" s="11" t="str">
        <f>VLOOKUP($B7,'BaseLine Data'!$B7:$AQ21,26,FALSE)</f>
        <v>Post-DER CFM/sf Conditioned floor area</v>
      </c>
      <c r="Q7" s="11" t="str">
        <f>VLOOKUP($B7,'BaseLine Data'!$B7:$AQ21,32,FALSE)</f>
        <v>6 months site MMBtu</v>
      </c>
      <c r="R7" s="11" t="s">
        <v>54</v>
      </c>
      <c r="S7" s="11" t="str">
        <f>VLOOKUP($B7,'BaseLine Data'!$B7:$AQ21,33,FALSE)</f>
        <v>6 months source MMBtu</v>
      </c>
      <c r="T7" s="11" t="s">
        <v>43</v>
      </c>
      <c r="U7" s="11" t="s">
        <v>231</v>
      </c>
      <c r="V7" s="11" t="s">
        <v>229</v>
      </c>
      <c r="W7" s="58" t="s">
        <v>146</v>
      </c>
      <c r="X7" s="58"/>
      <c r="Y7" s="11" t="str">
        <f>VLOOKUP($B7,'BaseLine Data'!$B7:$CC21,48,FALSE)</f>
        <v>12 (or 6) months post-retrofit electricity site MMBtu</v>
      </c>
      <c r="Z7" s="11" t="str">
        <f>VLOOKUP($B7,'BaseLine Data'!$B7:$CC21,49,FALSE)</f>
        <v>12 (or 6) months post-retrofit gas or propanesite MMBtu</v>
      </c>
      <c r="AA7" s="11" t="str">
        <f>VLOOKUP($B7,'BaseLine Data'!$B7:$CC21,50,FALSE)</f>
        <v>12 (or 6) months post-retrofit other site MMBtu</v>
      </c>
      <c r="AB7" s="11" t="str">
        <f>VLOOKUP($B7,'BaseLine Data'!$B7:$CC21,51,FALSE)</f>
        <v>12 (or 6) months post-retrofit electricity source MMBtu</v>
      </c>
      <c r="AC7" s="11" t="str">
        <f>VLOOKUP($B7,'BaseLine Data'!$B7:$CC21,52,FALSE)</f>
        <v>12 (or 6) months post-retrofit natural gas or propane source MMBtu</v>
      </c>
      <c r="AD7" s="11" t="str">
        <f>VLOOKUP($B7,'BaseLine Data'!$B7:$CC21,53,FALSE)</f>
        <v>12 (or 6)months pre-retrofit other source MMBtu</v>
      </c>
      <c r="AE7" s="11" t="str">
        <f>VLOOKUP($B7,'BaseLine Data'!$B7:$CC21,42,FALSE)</f>
        <v>Sort Order</v>
      </c>
    </row>
    <row r="8" spans="1:31" ht="71.25">
      <c r="A8" s="9"/>
      <c r="B8" s="49" t="s">
        <v>23</v>
      </c>
      <c r="C8" s="50"/>
      <c r="D8" s="50"/>
      <c r="E8" s="50"/>
      <c r="F8" s="50"/>
      <c r="G8" s="50"/>
      <c r="H8" s="50"/>
      <c r="I8" s="51"/>
      <c r="J8" s="52"/>
      <c r="K8" s="53"/>
      <c r="L8" s="53"/>
      <c r="M8" s="54"/>
      <c r="N8" s="41"/>
      <c r="O8" s="53"/>
      <c r="P8" s="41"/>
      <c r="Y8" s="55" t="s">
        <v>192</v>
      </c>
      <c r="Z8" s="55" t="s">
        <v>192</v>
      </c>
      <c r="AA8" s="55" t="s">
        <v>192</v>
      </c>
      <c r="AB8" s="55" t="s">
        <v>192</v>
      </c>
      <c r="AC8" s="55" t="s">
        <v>192</v>
      </c>
      <c r="AD8" s="55" t="s">
        <v>192</v>
      </c>
    </row>
    <row r="9" spans="1:31">
      <c r="A9" s="10" t="s">
        <v>24</v>
      </c>
      <c r="B9" s="11" t="s">
        <v>25</v>
      </c>
      <c r="C9" s="11">
        <f>VLOOKUP($B9,'BaseLine Data'!$B9:$AQ21,2,FALSE)</f>
        <v>1</v>
      </c>
      <c r="D9" s="11" t="str">
        <f>VLOOKUP($B9,'BaseLine Data'!$B9:$AQ21,3,FALSE)</f>
        <v>Belchertown</v>
      </c>
      <c r="E9" s="11">
        <f>VLOOKUP($B9,'BaseLine Data'!$B9:$AQ21,4,FALSE)</f>
        <v>1352</v>
      </c>
      <c r="F9" s="11">
        <f>VLOOKUP($B9,'BaseLine Data'!$B9:$AQ21,2,FALSE)</f>
        <v>1</v>
      </c>
      <c r="G9" s="11">
        <f>VLOOKUP($B9,'BaseLine Data'!$B9:$AQ21,6,FALSE)</f>
        <v>1.5</v>
      </c>
      <c r="H9" s="11">
        <f>VLOOKUP($B9,'BaseLine Data'!$B9:$AQ21,7,FALSE)</f>
        <v>1760</v>
      </c>
      <c r="I9" s="11">
        <f>VLOOKUP($B9,'BaseLine Data'!$B9:$AQ21,13,FALSE)</f>
        <v>1435</v>
      </c>
      <c r="J9" s="11">
        <f>VLOOKUP($B9,'BaseLine Data'!$B9:$AQ21,14,FALSE)</f>
        <v>1907</v>
      </c>
      <c r="K9" s="11">
        <f>VLOOKUP($B9,'BaseLine Data'!$B9:$AQ21,19,FALSE)</f>
        <v>9079</v>
      </c>
      <c r="L9" s="11">
        <f>VLOOKUP($B9,'BaseLine Data'!$B9:$AQ21,20,FALSE)</f>
        <v>468</v>
      </c>
      <c r="M9" s="47">
        <f>VLOOKUP($B9,'BaseLine Data'!$B9:$AQ21,21,FALSE)</f>
        <v>57.656646909398809</v>
      </c>
      <c r="N9" s="47">
        <f>VLOOKUP($B9,'BaseLine Data'!$B9:$AQ21,22,FALSE)</f>
        <v>1.8755009350788139</v>
      </c>
      <c r="O9" s="47">
        <f>VLOOKUP($B9,'BaseLine Data'!$B9:$AQ21,25,FALSE)</f>
        <v>6.3268292682926832</v>
      </c>
      <c r="P9" s="47">
        <f>VLOOKUP($B9,'BaseLine Data'!$B9:$AQ21,26,FALSE)</f>
        <v>0.2454116413214473</v>
      </c>
      <c r="Q9" s="82">
        <f>VLOOKUP($B9,'BaseLine Data'!$B9:$AQ21,32,FALSE)</f>
        <v>15.1</v>
      </c>
      <c r="R9" s="48">
        <f t="shared" ref="R9:R21" si="0">1000*Q9/J9</f>
        <v>7.9181961195595179</v>
      </c>
      <c r="S9" s="82">
        <f>VLOOKUP($B9,'BaseLine Data'!$B9:$AQ21,33,FALSE)</f>
        <v>22.29</v>
      </c>
      <c r="T9" s="37">
        <f t="shared" ref="T9:T21" si="1">1000*S9/J9</f>
        <v>11.688515993707394</v>
      </c>
      <c r="U9" s="82">
        <f>VLOOKUP($B9,'BaseLine Data'!$B$9:$AQ$21,29,FALSE)*1000/J9</f>
        <v>19.470372312532774</v>
      </c>
      <c r="V9" s="82">
        <f>VLOOKUP($B9,'BaseLine Data'!$B$9:$AQ$21,30,FALSE)*1000/J9</f>
        <v>27.477713686418458</v>
      </c>
      <c r="W9" s="37">
        <f t="shared" ref="W9:W21" si="2">S9/Q9</f>
        <v>1.476158940397351</v>
      </c>
      <c r="X9" s="37"/>
      <c r="Y9" s="48">
        <f>VLOOKUP($B9,'BaseLine Data'!$B$9:$CC$21,48,FALSE)*1000/J9</f>
        <v>3.3508127949659152</v>
      </c>
      <c r="Z9" s="48">
        <f>VLOOKUP($B9,'BaseLine Data'!$B$9:$CC$21,49,FALSE)*1000/J9</f>
        <v>16.119559517566859</v>
      </c>
      <c r="AA9" s="48">
        <f>VLOOKUP($B9,'BaseLine Data'!$B$9:$CC$21,50,FALSE)*1000/J9</f>
        <v>0</v>
      </c>
      <c r="AB9" s="48">
        <f>VLOOKUP($B9,'BaseLine Data'!$B$9:$CC$21,51,FALSE)*1000/J9</f>
        <v>11.19559517566859</v>
      </c>
      <c r="AC9" s="48">
        <f>VLOOKUP($B9,'BaseLine Data'!$B$9:$CC$21,52,FALSE)*1000/J9</f>
        <v>16.282118510749868</v>
      </c>
      <c r="AD9" s="48">
        <f>VLOOKUP($B9,'BaseLine Data'!$B$9:$CC$21,53,FALSE)*1000/J9</f>
        <v>0</v>
      </c>
      <c r="AE9" s="48">
        <f>VLOOKUP($B9,'BaseLine Data'!$B$9:$CC$21,42,FALSE)</f>
        <v>1</v>
      </c>
    </row>
    <row r="10" spans="1:31">
      <c r="A10" s="10" t="s">
        <v>24</v>
      </c>
      <c r="B10" s="17" t="s">
        <v>29</v>
      </c>
      <c r="C10" s="11">
        <f>VLOOKUP($B10,'BaseLine Data'!$B9:$AQ21,2,FALSE)</f>
        <v>1</v>
      </c>
      <c r="D10" s="11" t="str">
        <f>VLOOKUP($B10,'BaseLine Data'!$B9:$AY21,3,FALSE)</f>
        <v>Quincy</v>
      </c>
      <c r="E10" s="11">
        <f>VLOOKUP($B10,'BaseLine Data'!$B9:$AY21,4,FALSE)</f>
        <v>1808</v>
      </c>
      <c r="F10" s="11">
        <f>VLOOKUP($B10,'BaseLine Data'!$B9:$AQ21,2,FALSE)</f>
        <v>1</v>
      </c>
      <c r="G10" s="11">
        <f>VLOOKUP($B10,'BaseLine Data'!$B9:$AQ21,6,FALSE)</f>
        <v>1.5</v>
      </c>
      <c r="H10" s="11">
        <f>VLOOKUP($B10,'BaseLine Data'!$B9:$AQ21,7,FALSE)</f>
        <v>1905</v>
      </c>
      <c r="I10" s="11">
        <f>VLOOKUP($B10,'BaseLine Data'!$B9:$AQ21,13,FALSE)</f>
        <v>3484</v>
      </c>
      <c r="J10" s="11">
        <f>VLOOKUP($B10,'BaseLine Data'!$B9:$AQ21,14,FALSE)</f>
        <v>4576</v>
      </c>
      <c r="K10" s="11">
        <f>VLOOKUP($B10,'BaseLine Data'!$B9:$AQ21,19,FALSE)</f>
        <v>5050</v>
      </c>
      <c r="L10" s="11">
        <f>VLOOKUP($B10,'BaseLine Data'!$B9:$AQ21,20,FALSE)</f>
        <v>762</v>
      </c>
      <c r="M10" s="47">
        <f>VLOOKUP($B10,'BaseLine Data'!$B9:$AQ21,21,FALSE)</f>
        <v>18.53</v>
      </c>
      <c r="N10" s="47">
        <f>VLOOKUP($B10,'BaseLine Data'!$B9:$AQ21,22,FALSE)</f>
        <v>1.2579100863919002</v>
      </c>
      <c r="O10" s="47">
        <f>VLOOKUP($B10,'BaseLine Data'!$B9:$AQ21,25,FALSE)</f>
        <v>1.4494833524684272</v>
      </c>
      <c r="P10" s="47">
        <f>VLOOKUP($B10,'BaseLine Data'!$B9:$AQ21,26,FALSE)</f>
        <v>0.16652097902097901</v>
      </c>
      <c r="Q10" s="82">
        <f>VLOOKUP($B10,'BaseLine Data'!$B9:$AQ21,32,FALSE)</f>
        <v>29.67</v>
      </c>
      <c r="R10" s="48">
        <f t="shared" si="0"/>
        <v>6.4838286713286717</v>
      </c>
      <c r="S10" s="82">
        <f>VLOOKUP($B10,'BaseLine Data'!$B9:$AQ21,33,FALSE)</f>
        <v>69.75</v>
      </c>
      <c r="T10" s="37">
        <f t="shared" si="1"/>
        <v>15.24256993006993</v>
      </c>
      <c r="U10" s="82">
        <f>VLOOKUP($B10,'BaseLine Data'!$B$9:$AQ$21,29,FALSE)*1000/J10</f>
        <v>13.105332167832168</v>
      </c>
      <c r="V10" s="82">
        <f>VLOOKUP($B10,'BaseLine Data'!$B$9:$AQ$21,30,FALSE)*1000/J10</f>
        <v>30.642482517482517</v>
      </c>
      <c r="W10" s="37">
        <f t="shared" si="2"/>
        <v>2.3508594539939329</v>
      </c>
      <c r="X10" s="37"/>
      <c r="Y10" s="48">
        <f>VLOOKUP($B10,'BaseLine Data'!$B$9:$CC$21,48,FALSE)*1000/J10</f>
        <v>7.3798076923076925</v>
      </c>
      <c r="Z10" s="48">
        <f>VLOOKUP($B10,'BaseLine Data'!$B$9:$CC$21,49,FALSE)*1000/J10</f>
        <v>5.7255244755244759</v>
      </c>
      <c r="AA10" s="48">
        <f>VLOOKUP($B10,'BaseLine Data'!$B$9:$CC$21,50,FALSE)*1000/J10</f>
        <v>0</v>
      </c>
      <c r="AB10" s="48">
        <f>VLOOKUP($B10,'BaseLine Data'!$B$9:$CC$21,51,FALSE)*1000/J10</f>
        <v>24.648164335664337</v>
      </c>
      <c r="AC10" s="48">
        <f>VLOOKUP($B10,'BaseLine Data'!$B$9:$CC$21,52,FALSE)*1000/J10</f>
        <v>5.9943181818181817</v>
      </c>
      <c r="AD10" s="48">
        <f>VLOOKUP($B10,'BaseLine Data'!$B$9:$CC$21,53,FALSE)*1000/J10</f>
        <v>0</v>
      </c>
      <c r="AE10" s="48">
        <f>VLOOKUP($B10,'BaseLine Data'!$B$9:$CC$21,42,FALSE)</f>
        <v>5</v>
      </c>
    </row>
    <row r="11" spans="1:31" ht="30">
      <c r="A11" s="10" t="s">
        <v>24</v>
      </c>
      <c r="B11" s="11" t="s">
        <v>26</v>
      </c>
      <c r="C11" s="11">
        <f>VLOOKUP($B11,'BaseLine Data'!$B9:$AQ21,2,FALSE)</f>
        <v>2</v>
      </c>
      <c r="D11" s="11" t="str">
        <f>VLOOKUP($B11,'BaseLine Data'!$B9:$AQ21,3,FALSE)</f>
        <v>Belmont</v>
      </c>
      <c r="E11" s="11">
        <f>VLOOKUP($B11,'BaseLine Data'!$B9:$AQ21,4,FALSE)</f>
        <v>2728</v>
      </c>
      <c r="F11" s="11">
        <f>VLOOKUP($B11,'BaseLine Data'!$B9:$AQ21,2,FALSE)</f>
        <v>2</v>
      </c>
      <c r="G11" s="11">
        <f>VLOOKUP($B11,'BaseLine Data'!$B9:$AQ21,6,FALSE)</f>
        <v>3</v>
      </c>
      <c r="H11" s="11">
        <f>VLOOKUP($B11,'BaseLine Data'!$B9:$AQ21,7,FALSE)</f>
        <v>1925</v>
      </c>
      <c r="I11" s="11">
        <f>VLOOKUP($B11,'BaseLine Data'!$B9:$AQ21,13,FALSE)</f>
        <v>3417</v>
      </c>
      <c r="J11" s="11">
        <f>VLOOKUP($B11,'BaseLine Data'!$B9:$AQ21,14,FALSE)</f>
        <v>4768</v>
      </c>
      <c r="K11" s="11">
        <f>VLOOKUP($B11,'BaseLine Data'!$B9:$AQ21,19,FALSE)</f>
        <v>5700</v>
      </c>
      <c r="L11" s="11">
        <f>VLOOKUP($B11,'BaseLine Data'!$B9:$AQ21,20,FALSE)</f>
        <v>590</v>
      </c>
      <c r="M11" s="47">
        <f>VLOOKUP($B11,'BaseLine Data'!$B9:$AQ21,21,FALSE)</f>
        <v>9.2687950566426363</v>
      </c>
      <c r="N11" s="47">
        <f>VLOOKUP($B11,'BaseLine Data'!$B9:$AQ21,22,FALSE)</f>
        <v>0.74204502578292031</v>
      </c>
      <c r="O11" s="47">
        <f>VLOOKUP($B11,'BaseLine Data'!$B9:$AQ21,25,FALSE)</f>
        <v>1.6681299385425812</v>
      </c>
      <c r="P11" s="47">
        <f>VLOOKUP($B11,'BaseLine Data'!$B9:$AQ21,26,FALSE)</f>
        <v>0.12374161073825503</v>
      </c>
      <c r="Q11" s="82">
        <f>VLOOKUP($B11,'BaseLine Data'!$B9:$AQ21,32,FALSE)</f>
        <v>28.94</v>
      </c>
      <c r="R11" s="48">
        <f t="shared" si="0"/>
        <v>6.0696308724832218</v>
      </c>
      <c r="S11" s="82">
        <f>VLOOKUP($B11,'BaseLine Data'!$B9:$AQ21,33,FALSE)</f>
        <v>77.39</v>
      </c>
      <c r="T11" s="37">
        <f t="shared" si="1"/>
        <v>16.231124161073826</v>
      </c>
      <c r="U11" s="82">
        <f>VLOOKUP($B11,'BaseLine Data'!$B$9:$AQ$21,29,FALSE)*1000/J11</f>
        <v>12.449664429530202</v>
      </c>
      <c r="V11" s="82">
        <f>VLOOKUP($B11,'BaseLine Data'!$B$9:$AQ$21,30,FALSE)*1000/J11</f>
        <v>31.770134228187921</v>
      </c>
      <c r="W11" s="37">
        <f t="shared" si="2"/>
        <v>2.6741534208707671</v>
      </c>
      <c r="X11" s="37"/>
      <c r="Y11" s="48">
        <f>VLOOKUP($B11,'BaseLine Data'!$B$9:$CC$21,48,FALSE)*1000/J11</f>
        <v>8.1711409395973149</v>
      </c>
      <c r="Z11" s="48">
        <f>VLOOKUP($B11,'BaseLine Data'!$B$9:$CC$21,49,FALSE)*1000/J11</f>
        <v>4.2785234899328861</v>
      </c>
      <c r="AA11" s="48">
        <f>VLOOKUP($B11,'BaseLine Data'!$B$9:$CC$21,50,FALSE)*1000/J11</f>
        <v>0</v>
      </c>
      <c r="AB11" s="48">
        <f>VLOOKUP($B11,'BaseLine Data'!$B$9:$CC$21,51,FALSE)*1000/J11</f>
        <v>27.290268456375838</v>
      </c>
      <c r="AC11" s="48">
        <f>VLOOKUP($B11,'BaseLine Data'!$B$9:$CC$21,52,FALSE)*1000/J11</f>
        <v>4.4798657718120802</v>
      </c>
      <c r="AD11" s="48">
        <f>VLOOKUP($B11,'BaseLine Data'!$B$9:$CC$21,53,FALSE)*1000/J11</f>
        <v>0</v>
      </c>
      <c r="AE11" s="48">
        <f>VLOOKUP($B11,'BaseLine Data'!$B$9:$CC$21,42,FALSE)</f>
        <v>2</v>
      </c>
    </row>
    <row r="12" spans="1:31" ht="30">
      <c r="A12" s="10" t="s">
        <v>24</v>
      </c>
      <c r="B12" s="11" t="s">
        <v>34</v>
      </c>
      <c r="C12" s="11">
        <f>VLOOKUP($B12,'BaseLine Data'!$B9:$AQ21,2,FALSE)</f>
        <v>1</v>
      </c>
      <c r="D12" s="11" t="str">
        <f>VLOOKUP($B12,'BaseLine Data'!$B9:$AQ21,3,FALSE)</f>
        <v>Northampton</v>
      </c>
      <c r="E12" s="11">
        <f>VLOOKUP($B12,'BaseLine Data'!$B9:$AQ21,4,FALSE)</f>
        <v>2032</v>
      </c>
      <c r="F12" s="11">
        <f>VLOOKUP($B12,'BaseLine Data'!$B9:$AQ21,2,FALSE)</f>
        <v>1</v>
      </c>
      <c r="G12" s="11">
        <f>VLOOKUP($B12,'BaseLine Data'!$B9:$AQ21,6,FALSE)</f>
        <v>1</v>
      </c>
      <c r="H12" s="11">
        <f>VLOOKUP($B12,'BaseLine Data'!$B9:$AQ21,7,FALSE)</f>
        <v>1859</v>
      </c>
      <c r="I12" s="11">
        <f>VLOOKUP($B12,'BaseLine Data'!$B9:$AQ21,13,FALSE)</f>
        <v>2032</v>
      </c>
      <c r="J12" s="11">
        <f>VLOOKUP($B12,'BaseLine Data'!$B9:$AQ21,14,FALSE)</f>
        <v>2747</v>
      </c>
      <c r="K12" s="11">
        <f>VLOOKUP($B12,'BaseLine Data'!$B9:$AQ21,19,FALSE)</f>
        <v>6155</v>
      </c>
      <c r="L12" s="11">
        <f>VLOOKUP($B12,'BaseLine Data'!$B9:$AQ21,20,FALSE)</f>
        <v>473</v>
      </c>
      <c r="M12" s="47">
        <f>VLOOKUP($B12,'BaseLine Data'!$B9:$AQ21,21,FALSE)</f>
        <v>0</v>
      </c>
      <c r="N12" s="47">
        <f>VLOOKUP($B12,'BaseLine Data'!$B9:$AQ21,22,FALSE)</f>
        <v>0.81966266173752311</v>
      </c>
      <c r="O12" s="47">
        <f>VLOOKUP($B12,'BaseLine Data'!$B9:$AQ21,25,FALSE)</f>
        <v>3.0290354330708662</v>
      </c>
      <c r="P12" s="47">
        <f>VLOOKUP($B12,'BaseLine Data'!$B9:$AQ21,26,FALSE)</f>
        <v>0.17218784128139789</v>
      </c>
      <c r="Q12" s="82">
        <f>VLOOKUP($B12,'BaseLine Data'!$B9:$AQ21,32,FALSE)</f>
        <v>12.38</v>
      </c>
      <c r="R12" s="48">
        <f t="shared" si="0"/>
        <v>4.5067346195850018</v>
      </c>
      <c r="S12" s="82">
        <f>VLOOKUP($B12,'BaseLine Data'!$B9:$AQ21,33,FALSE)</f>
        <v>41.35</v>
      </c>
      <c r="T12" s="37">
        <f t="shared" si="1"/>
        <v>15.05278485620677</v>
      </c>
      <c r="U12" s="82">
        <f>VLOOKUP($B12,'BaseLine Data'!$B$9:$AQ$21,29,FALSE)*1000/J12</f>
        <v>9.5631598107025848</v>
      </c>
      <c r="V12" s="82">
        <f>VLOOKUP($B12,'BaseLine Data'!$B$9:$AQ$21,30,FALSE)*1000/J12</f>
        <v>31.940298507462686</v>
      </c>
      <c r="W12" s="37">
        <f t="shared" si="2"/>
        <v>3.3400646203554119</v>
      </c>
      <c r="X12" s="37"/>
      <c r="Y12" s="48">
        <f>VLOOKUP($B12,'BaseLine Data'!$B$9:$CC$21,48,FALSE)*1000/J12</f>
        <v>9.5631598107025848</v>
      </c>
      <c r="Z12" s="48">
        <f>VLOOKUP($B12,'BaseLine Data'!$B$9:$CC$21,49,FALSE)*1000/J12</f>
        <v>0</v>
      </c>
      <c r="AA12" s="48">
        <f>VLOOKUP($B12,'BaseLine Data'!$B$9:$CC$21,50,FALSE)*1000/J12</f>
        <v>0</v>
      </c>
      <c r="AB12" s="48">
        <f>VLOOKUP($B12,'BaseLine Data'!$B$9:$CC$21,51,FALSE)*1000/J12</f>
        <v>31.940298507462686</v>
      </c>
      <c r="AC12" s="48">
        <f>VLOOKUP($B12,'BaseLine Data'!$B$9:$CC$21,52,FALSE)*1000/J12</f>
        <v>0</v>
      </c>
      <c r="AD12" s="48">
        <f>VLOOKUP($B12,'BaseLine Data'!$B$9:$CC$21,53,FALSE)*1000/J12</f>
        <v>0</v>
      </c>
      <c r="AE12" s="48">
        <f>VLOOKUP($B12,'BaseLine Data'!$B$9:$CC$21,42,FALSE)</f>
        <v>9</v>
      </c>
    </row>
    <row r="13" spans="1:31">
      <c r="A13" s="10" t="s">
        <v>24</v>
      </c>
      <c r="B13" s="11" t="s">
        <v>33</v>
      </c>
      <c r="C13" s="11">
        <f>VLOOKUP($B13,'BaseLine Data'!$B9:$AQ21,2,FALSE)</f>
        <v>3</v>
      </c>
      <c r="D13" s="11" t="str">
        <f>VLOOKUP($B13,'BaseLine Data'!$B9:$AQ21,3,FALSE)</f>
        <v>Jamaica Plain</v>
      </c>
      <c r="E13" s="11">
        <f>VLOOKUP($B13,'BaseLine Data'!$B9:$AQ21,4,FALSE)</f>
        <v>3885</v>
      </c>
      <c r="F13" s="11">
        <f>VLOOKUP($B13,'BaseLine Data'!$B9:$AQ21,2,FALSE)</f>
        <v>3</v>
      </c>
      <c r="G13" s="11">
        <f>VLOOKUP($B13,'BaseLine Data'!$B9:$AQ21,6,FALSE)</f>
        <v>3</v>
      </c>
      <c r="H13" s="11">
        <f>VLOOKUP($B13,'BaseLine Data'!$B9:$AQ21,7,FALSE)</f>
        <v>1907</v>
      </c>
      <c r="I13" s="11">
        <f>VLOOKUP($B13,'BaseLine Data'!$B9:$AQ21,13,FALSE)</f>
        <v>3885</v>
      </c>
      <c r="J13" s="11">
        <f>VLOOKUP($B13,'BaseLine Data'!$B9:$AQ21,14,FALSE)</f>
        <v>3885</v>
      </c>
      <c r="K13" s="11">
        <f>VLOOKUP($B13,'BaseLine Data'!$B9:$AQ21,19,FALSE)</f>
        <v>7729</v>
      </c>
      <c r="L13" s="11">
        <f>VLOOKUP($B13,'BaseLine Data'!$B9:$AQ21,20,FALSE)</f>
        <v>1802</v>
      </c>
      <c r="M13" s="47">
        <f>VLOOKUP($B13,'BaseLine Data'!$B9:$AQ21,21,FALSE)</f>
        <v>10.889494199971821</v>
      </c>
      <c r="N13" s="47">
        <f>VLOOKUP($B13,'BaseLine Data'!$B9:$AQ21,22,FALSE)</f>
        <v>2.5388625369839852</v>
      </c>
      <c r="O13" s="47">
        <f>VLOOKUP($B13,'BaseLine Data'!$B9:$AQ21,25,FALSE)</f>
        <v>1.9894465894465894</v>
      </c>
      <c r="P13" s="47">
        <f>VLOOKUP($B13,'BaseLine Data'!$B9:$AQ21,26,FALSE)</f>
        <v>0.46383526383526386</v>
      </c>
      <c r="Q13" s="82">
        <f>VLOOKUP($B13,'BaseLine Data'!$B9:$AQ21,32,FALSE)</f>
        <v>50.35</v>
      </c>
      <c r="R13" s="48">
        <f t="shared" si="0"/>
        <v>12.96010296010296</v>
      </c>
      <c r="S13" s="82">
        <f>VLOOKUP($B13,'BaseLine Data'!$B9:$AQ21,33,FALSE)</f>
        <v>75.52</v>
      </c>
      <c r="T13" s="37">
        <f t="shared" si="1"/>
        <v>19.43886743886744</v>
      </c>
      <c r="U13" s="82">
        <f>VLOOKUP($B13,'BaseLine Data'!$B$9:$AQ$21,29,FALSE)*1000/J13</f>
        <v>25.945945945945947</v>
      </c>
      <c r="V13" s="82">
        <f>VLOOKUP($B13,'BaseLine Data'!$B$9:$AQ$21,30,FALSE)*1000/J13</f>
        <v>39.562419562419564</v>
      </c>
      <c r="W13" s="37">
        <f t="shared" si="2"/>
        <v>1.4999006951340614</v>
      </c>
      <c r="X13" s="37"/>
      <c r="Y13" s="48">
        <f>VLOOKUP($B13,'BaseLine Data'!$B$9:$CC$21,48,FALSE)*1000/J13</f>
        <v>5.4054054054054053</v>
      </c>
      <c r="Z13" s="48">
        <f>VLOOKUP($B13,'BaseLine Data'!$B$9:$CC$21,49,FALSE)*1000/J13</f>
        <v>20.54054054054054</v>
      </c>
      <c r="AA13" s="48">
        <f>VLOOKUP($B13,'BaseLine Data'!$B$9:$CC$21,50,FALSE)*1000/J13</f>
        <v>0</v>
      </c>
      <c r="AB13" s="48">
        <f>VLOOKUP($B13,'BaseLine Data'!$B$9:$CC$21,51,FALSE)*1000/J13</f>
        <v>18.054054054054053</v>
      </c>
      <c r="AC13" s="48">
        <f>VLOOKUP($B13,'BaseLine Data'!$B$9:$CC$21,52,FALSE)*1000/J13</f>
        <v>21.505791505791507</v>
      </c>
      <c r="AD13" s="48">
        <f>VLOOKUP($B13,'BaseLine Data'!$B$9:$CC$21,53,FALSE)*1000/J13</f>
        <v>0</v>
      </c>
      <c r="AE13" s="48">
        <f>VLOOKUP($B13,'BaseLine Data'!$B$9:$CC$21,42,FALSE)</f>
        <v>8</v>
      </c>
    </row>
    <row r="14" spans="1:31">
      <c r="A14" s="10" t="s">
        <v>24</v>
      </c>
      <c r="B14" s="11" t="s">
        <v>28</v>
      </c>
      <c r="C14" s="11">
        <f>VLOOKUP($B14,'BaseLine Data'!$B9:$AQ21,2,FALSE)</f>
        <v>1</v>
      </c>
      <c r="D14" s="11" t="str">
        <f>VLOOKUP($B14,'BaseLine Data'!$B9:$AQ21,3,FALSE)</f>
        <v>Milton</v>
      </c>
      <c r="E14" s="11">
        <f>VLOOKUP($B14,'BaseLine Data'!$B9:$AQ21,4,FALSE)</f>
        <v>1600</v>
      </c>
      <c r="F14" s="11">
        <f>VLOOKUP($B14,'BaseLine Data'!$B9:$AQ21,2,FALSE)</f>
        <v>1</v>
      </c>
      <c r="G14" s="11">
        <f>VLOOKUP($B14,'BaseLine Data'!$B9:$AQ21,6,FALSE)</f>
        <v>2</v>
      </c>
      <c r="H14" s="11">
        <f>VLOOKUP($B14,'BaseLine Data'!$B9:$AQ21,7,FALSE)</f>
        <v>1960</v>
      </c>
      <c r="I14" s="11">
        <f>VLOOKUP($B14,'BaseLine Data'!$B9:$AQ21,13,FALSE)</f>
        <v>2368</v>
      </c>
      <c r="J14" s="11">
        <f>VLOOKUP($B14,'BaseLine Data'!$B9:$AQ21,14,FALSE)</f>
        <v>2368</v>
      </c>
      <c r="K14" s="11">
        <f>VLOOKUP($B14,'BaseLine Data'!$B9:$AQ21,19,FALSE)</f>
        <v>1695</v>
      </c>
      <c r="L14" s="11">
        <f>VLOOKUP($B14,'BaseLine Data'!$B9:$AQ21,20,FALSE)</f>
        <v>584</v>
      </c>
      <c r="M14" s="47">
        <f>VLOOKUP($B14,'BaseLine Data'!$B9:$AQ21,21,FALSE)</f>
        <v>4.5285337703049304</v>
      </c>
      <c r="N14" s="47">
        <f>VLOOKUP($B14,'BaseLine Data'!$B9:$AQ21,22,FALSE)</f>
        <v>1.4326835012429675</v>
      </c>
      <c r="O14" s="47">
        <f>VLOOKUP($B14,'BaseLine Data'!$B9:$AQ21,25,FALSE)</f>
        <v>0.71579391891891897</v>
      </c>
      <c r="P14" s="47">
        <f>VLOOKUP($B14,'BaseLine Data'!$B9:$AQ21,26,FALSE)</f>
        <v>0.24662162162162163</v>
      </c>
      <c r="Q14" s="82">
        <f>VLOOKUP($B14,'BaseLine Data'!$B9:$AQ21,32,FALSE)</f>
        <v>26.05</v>
      </c>
      <c r="R14" s="48">
        <f t="shared" si="0"/>
        <v>11.000844594594595</v>
      </c>
      <c r="S14" s="82">
        <f>VLOOKUP($B14,'BaseLine Data'!$B9:$AQ21,33,FALSE)</f>
        <v>50.54</v>
      </c>
      <c r="T14" s="37">
        <f t="shared" si="1"/>
        <v>21.342905405405407</v>
      </c>
      <c r="U14" s="82">
        <f>VLOOKUP($B14,'BaseLine Data'!$B$9:$AQ$21,29,FALSE)*1000/J14</f>
        <v>22.630912162162161</v>
      </c>
      <c r="V14" s="82">
        <f>VLOOKUP($B14,'BaseLine Data'!$B$9:$AQ$21,30,FALSE)*1000/J14</f>
        <v>45.663006756756758</v>
      </c>
      <c r="W14" s="37">
        <f t="shared" si="2"/>
        <v>1.9401151631477926</v>
      </c>
      <c r="X14" s="37"/>
      <c r="Y14" s="48">
        <f>VLOOKUP($B14,'BaseLine Data'!$B$9:$CC$21,48,FALSE)*1000/J14</f>
        <v>9.5819256756756754</v>
      </c>
      <c r="Z14" s="48">
        <f>VLOOKUP($B14,'BaseLine Data'!$B$9:$CC$21,49,FALSE)*1000/J14</f>
        <v>13.048986486486486</v>
      </c>
      <c r="AA14" s="48">
        <f>VLOOKUP($B14,'BaseLine Data'!$B$9:$CC$21,50,FALSE)*1000/J14</f>
        <v>0</v>
      </c>
      <c r="AB14" s="48">
        <f>VLOOKUP($B14,'BaseLine Data'!$B$9:$CC$21,51,FALSE)*1000/J14</f>
        <v>32.001689189189186</v>
      </c>
      <c r="AC14" s="48">
        <f>VLOOKUP($B14,'BaseLine Data'!$B$9:$CC$21,52,FALSE)*1000/J14</f>
        <v>13.661317567567568</v>
      </c>
      <c r="AD14" s="48">
        <f>VLOOKUP($B14,'BaseLine Data'!$B$9:$CC$21,53,FALSE)*1000/J14</f>
        <v>0</v>
      </c>
      <c r="AE14" s="48">
        <f>VLOOKUP($B14,'BaseLine Data'!$B$9:$CC$21,42,FALSE)</f>
        <v>4</v>
      </c>
    </row>
    <row r="15" spans="1:31">
      <c r="A15" s="10" t="s">
        <v>24</v>
      </c>
      <c r="B15" s="11" t="s">
        <v>32</v>
      </c>
      <c r="C15" s="11">
        <f>VLOOKUP($B15,'BaseLine Data'!$B9:$AQ21,2,FALSE)</f>
        <v>1</v>
      </c>
      <c r="D15" s="11" t="str">
        <f>VLOOKUP($B15,'BaseLine Data'!$B9:$AQ21,3,FALSE)</f>
        <v>Newton</v>
      </c>
      <c r="E15" s="11">
        <f>VLOOKUP($B15,'BaseLine Data'!$B9:$AQ21,4,FALSE)</f>
        <v>1724</v>
      </c>
      <c r="F15" s="11">
        <f>VLOOKUP($B15,'BaseLine Data'!$B9:$AQ21,2,FALSE)</f>
        <v>1</v>
      </c>
      <c r="G15" s="11">
        <f>VLOOKUP($B15,'BaseLine Data'!$B9:$AQ21,6,FALSE)</f>
        <v>1</v>
      </c>
      <c r="H15" s="11">
        <f>VLOOKUP($B15,'BaseLine Data'!$B9:$AQ21,7,FALSE)</f>
        <v>1930</v>
      </c>
      <c r="I15" s="11">
        <f>VLOOKUP($B15,'BaseLine Data'!$B9:$AQ21,13,FALSE)</f>
        <v>1815</v>
      </c>
      <c r="J15" s="11">
        <f>VLOOKUP($B15,'BaseLine Data'!$B9:$AQ21,14,FALSE)</f>
        <v>2199</v>
      </c>
      <c r="K15" s="11">
        <f>VLOOKUP($B15,'BaseLine Data'!$B9:$AQ21,19,FALSE)</f>
        <v>3199</v>
      </c>
      <c r="L15" s="11">
        <f>VLOOKUP($B15,'BaseLine Data'!$B9:$AQ21,20,FALSE)</f>
        <v>1299</v>
      </c>
      <c r="M15" s="47">
        <f>VLOOKUP($B15,'BaseLine Data'!$B9:$AQ21,21,FALSE)</f>
        <v>10.192767245499441</v>
      </c>
      <c r="N15" s="47">
        <f>VLOOKUP($B15,'BaseLine Data'!$B9:$AQ21,22,FALSE)</f>
        <v>3.558254200146092</v>
      </c>
      <c r="O15" s="47">
        <f>VLOOKUP($B15,'BaseLine Data'!$B9:$AQ21,25,FALSE)</f>
        <v>1.7625344352617081</v>
      </c>
      <c r="P15" s="47">
        <f>VLOOKUP($B15,'BaseLine Data'!$B9:$AQ21,26,FALSE)</f>
        <v>0.59072305593451568</v>
      </c>
      <c r="Q15" s="82">
        <f>VLOOKUP($B15,'BaseLine Data'!$B9:$AQ21,32,FALSE)</f>
        <v>28.33</v>
      </c>
      <c r="R15" s="48">
        <f t="shared" si="0"/>
        <v>12.8831286948613</v>
      </c>
      <c r="S15" s="82">
        <f>VLOOKUP($B15,'BaseLine Data'!$B9:$AQ21,33,FALSE)</f>
        <v>55.42</v>
      </c>
      <c r="T15" s="37">
        <f t="shared" si="1"/>
        <v>25.202364711232377</v>
      </c>
      <c r="U15" s="82">
        <f>VLOOKUP($B15,'BaseLine Data'!$B$9:$AQ$21,29,FALSE)*1000/J15</f>
        <v>30.086402910413824</v>
      </c>
      <c r="V15" s="82">
        <f>VLOOKUP($B15,'BaseLine Data'!$B$9:$AQ$21,30,FALSE)*1000/J15</f>
        <v>57.00773078672124</v>
      </c>
      <c r="W15" s="37">
        <f t="shared" si="2"/>
        <v>1.9562301447229087</v>
      </c>
      <c r="X15" s="37"/>
      <c r="Y15" s="48">
        <f>VLOOKUP($B15,'BaseLine Data'!$B$9:$CC$21,48,FALSE)*1000/J15</f>
        <v>11.123237835379719</v>
      </c>
      <c r="Z15" s="48">
        <f>VLOOKUP($B15,'BaseLine Data'!$B$9:$CC$21,49,FALSE)*1000/J15</f>
        <v>18.963165075034105</v>
      </c>
      <c r="AA15" s="48">
        <f>VLOOKUP($B15,'BaseLine Data'!$B$9:$CC$21,50,FALSE)*1000/J15</f>
        <v>0</v>
      </c>
      <c r="AB15" s="48">
        <f>VLOOKUP($B15,'BaseLine Data'!$B$9:$CC$21,51,FALSE)*1000/J15</f>
        <v>37.153251477944522</v>
      </c>
      <c r="AC15" s="48">
        <f>VLOOKUP($B15,'BaseLine Data'!$B$9:$CC$21,52,FALSE)*1000/J15</f>
        <v>19.854479308776718</v>
      </c>
      <c r="AD15" s="48">
        <f>VLOOKUP($B15,'BaseLine Data'!$B$9:$CC$21,53,FALSE)*1000/J15</f>
        <v>0</v>
      </c>
      <c r="AE15" s="48">
        <f>VLOOKUP($B15,'BaseLine Data'!$B$9:$CC$21,42,FALSE)</f>
        <v>7</v>
      </c>
    </row>
    <row r="16" spans="1:31" ht="30">
      <c r="A16" s="10" t="s">
        <v>24</v>
      </c>
      <c r="B16" s="11" t="s">
        <v>30</v>
      </c>
      <c r="C16" s="11">
        <f>VLOOKUP($B16,'BaseLine Data'!$B9:$AQ21,2,FALSE)</f>
        <v>2</v>
      </c>
      <c r="D16" s="11" t="str">
        <f>VLOOKUP($B16,'BaseLine Data'!$B9:$AQ21,3,FALSE)</f>
        <v>Arlington</v>
      </c>
      <c r="E16" s="11">
        <f>VLOOKUP($B16,'BaseLine Data'!$B9:$AQ21,4,FALSE)</f>
        <v>2112</v>
      </c>
      <c r="F16" s="11">
        <f>VLOOKUP($B16,'BaseLine Data'!$B9:$AQ21,2,FALSE)</f>
        <v>2</v>
      </c>
      <c r="G16" s="11">
        <f>VLOOKUP($B16,'BaseLine Data'!$B9:$AQ21,6,FALSE)</f>
        <v>2</v>
      </c>
      <c r="H16" s="11">
        <f>VLOOKUP($B16,'BaseLine Data'!$B9:$AQ21,7,FALSE)</f>
        <v>1910</v>
      </c>
      <c r="I16" s="11">
        <f>VLOOKUP($B16,'BaseLine Data'!$B9:$AQ21,13,FALSE)</f>
        <v>2502</v>
      </c>
      <c r="J16" s="11">
        <f>VLOOKUP($B16,'BaseLine Data'!$B9:$AQ21,14,FALSE)</f>
        <v>3627</v>
      </c>
      <c r="K16" s="11">
        <f>VLOOKUP($B16,'BaseLine Data'!$B9:$AQ21,19,FALSE)</f>
        <v>8730</v>
      </c>
      <c r="L16" s="11">
        <f>VLOOKUP($B16,'BaseLine Data'!$B9:$AQ21,20,FALSE)</f>
        <v>3586</v>
      </c>
      <c r="M16" s="47">
        <f>VLOOKUP($B16,'BaseLine Data'!$B9:$AQ21,21,FALSE)</f>
        <v>25.986009822890313</v>
      </c>
      <c r="N16" s="47">
        <f>VLOOKUP($B16,'BaseLine Data'!$B9:$AQ21,22,FALSE)</f>
        <v>7.2571505666486775</v>
      </c>
      <c r="O16" s="47">
        <f>VLOOKUP($B16,'BaseLine Data'!$B9:$AQ21,25,FALSE)</f>
        <v>3.4892086330935252</v>
      </c>
      <c r="P16" s="47">
        <f>VLOOKUP($B16,'BaseLine Data'!$B9:$AQ21,26,FALSE)</f>
        <v>0.98869589192169838</v>
      </c>
      <c r="Q16" s="82">
        <f>VLOOKUP($B16,'BaseLine Data'!$B9:$AQ21,32,FALSE)</f>
        <v>44.42</v>
      </c>
      <c r="R16" s="48">
        <f t="shared" si="0"/>
        <v>12.24703611800386</v>
      </c>
      <c r="S16" s="82">
        <f>VLOOKUP($B16,'BaseLine Data'!$B9:$AQ21,33,FALSE)</f>
        <v>91.72</v>
      </c>
      <c r="T16" s="37">
        <f t="shared" si="1"/>
        <v>25.288116901020128</v>
      </c>
      <c r="U16" s="82">
        <f>VLOOKUP($B16,'BaseLine Data'!$B$9:$AQ$21,29,FALSE)*1000/J16</f>
        <v>27.777777777777779</v>
      </c>
      <c r="V16" s="82">
        <f>VLOOKUP($B16,'BaseLine Data'!$B$9:$AQ$21,30,FALSE)*1000/J16</f>
        <v>59.713261648745522</v>
      </c>
      <c r="W16" s="37">
        <f t="shared" si="2"/>
        <v>2.064835659612787</v>
      </c>
      <c r="X16" s="37"/>
      <c r="Y16" s="48">
        <f>VLOOKUP($B16,'BaseLine Data'!$B$9:$CC$21,48,FALSE)*1000/J16</f>
        <v>13.358147229114971</v>
      </c>
      <c r="Z16" s="48">
        <f>VLOOKUP($B16,'BaseLine Data'!$B$9:$CC$21,49,FALSE)*1000/J16</f>
        <v>14.419630548662807</v>
      </c>
      <c r="AA16" s="48">
        <f>VLOOKUP($B16,'BaseLine Data'!$B$9:$CC$21,50,FALSE)*1000/J16</f>
        <v>0</v>
      </c>
      <c r="AB16" s="48">
        <f>VLOOKUP($B16,'BaseLine Data'!$B$9:$CC$21,51,FALSE)*1000/J16</f>
        <v>44.618141714915907</v>
      </c>
      <c r="AC16" s="48">
        <f>VLOOKUP($B16,'BaseLine Data'!$B$9:$CC$21,52,FALSE)*1000/J16</f>
        <v>15.097877033360904</v>
      </c>
      <c r="AD16" s="48">
        <f>VLOOKUP($B16,'BaseLine Data'!$B$9:$CC$21,53,FALSE)*1000/J16</f>
        <v>0</v>
      </c>
      <c r="AE16" s="48">
        <f>VLOOKUP($B16,'BaseLine Data'!$B$9:$CC$21,42,FALSE)</f>
        <v>6</v>
      </c>
    </row>
    <row r="17" spans="1:33">
      <c r="A17" s="10" t="s">
        <v>24</v>
      </c>
      <c r="B17" s="11" t="s">
        <v>27</v>
      </c>
      <c r="C17" s="11">
        <f>VLOOKUP($B17,'BaseLine Data'!$B9:$AQ21,2,FALSE)</f>
        <v>1</v>
      </c>
      <c r="D17" s="11" t="str">
        <f>VLOOKUP($B17,'BaseLine Data'!$B9:$AQ21,3,FALSE)</f>
        <v>Millbury</v>
      </c>
      <c r="E17" s="11">
        <f>VLOOKUP($B17,'BaseLine Data'!$B9:$AQ21,4,FALSE)</f>
        <v>1100</v>
      </c>
      <c r="F17" s="11">
        <f>VLOOKUP($B17,'BaseLine Data'!$B9:$AQ21,2,FALSE)</f>
        <v>1</v>
      </c>
      <c r="G17" s="11">
        <f>VLOOKUP($B17,'BaseLine Data'!$B9:$AQ21,6,FALSE)</f>
        <v>1.5</v>
      </c>
      <c r="H17" s="11">
        <f>VLOOKUP($B17,'BaseLine Data'!$B9:$AQ21,7,FALSE)</f>
        <v>1953</v>
      </c>
      <c r="I17" s="11">
        <f>VLOOKUP($B17,'BaseLine Data'!$B9:$AQ21,13,FALSE)</f>
        <v>1868</v>
      </c>
      <c r="J17" s="11">
        <f>VLOOKUP($B17,'BaseLine Data'!$B9:$AQ21,14,FALSE)</f>
        <v>1868</v>
      </c>
      <c r="K17" s="11">
        <f>VLOOKUP($B17,'BaseLine Data'!$B9:$AQ21,19,FALSE)</f>
        <v>2860</v>
      </c>
      <c r="L17" s="11">
        <f>VLOOKUP($B17,'BaseLine Data'!$B9:$AQ21,20,FALSE)</f>
        <v>402</v>
      </c>
      <c r="M17" s="47">
        <f>VLOOKUP($B17,'BaseLine Data'!$B9:$AQ21,21,FALSE)</f>
        <v>10.4</v>
      </c>
      <c r="N17" s="47">
        <f>VLOOKUP($B17,'BaseLine Data'!$B9:$AQ21,22,FALSE)</f>
        <v>1.4188235294117648</v>
      </c>
      <c r="O17" s="47">
        <f>VLOOKUP($B17,'BaseLine Data'!$B9:$AQ21,25,FALSE)</f>
        <v>1.5310492505353319</v>
      </c>
      <c r="P17" s="47">
        <f>VLOOKUP($B17,'BaseLine Data'!$B9:$AQ21,26,FALSE)</f>
        <v>0.21520342612419699</v>
      </c>
      <c r="Q17" s="82">
        <f>VLOOKUP($B17,'BaseLine Data'!$B9:$AQ21,32,FALSE)</f>
        <v>21.26</v>
      </c>
      <c r="R17" s="48">
        <f t="shared" si="0"/>
        <v>11.381156316916488</v>
      </c>
      <c r="S17" s="82">
        <f>VLOOKUP($B17,'BaseLine Data'!$B9:$AQ21,33,FALSE)</f>
        <v>62.9</v>
      </c>
      <c r="T17" s="37">
        <f t="shared" si="1"/>
        <v>33.672376873661669</v>
      </c>
      <c r="U17" s="82">
        <f>VLOOKUP($B17,'BaseLine Data'!$B$9:$AQ$21,29,FALSE)*1000/J17</f>
        <v>24.111349036402569</v>
      </c>
      <c r="V17" s="82">
        <f>VLOOKUP($B17,'BaseLine Data'!$B$9:$AQ$21,30,FALSE)*1000/J17</f>
        <v>69.448608137044957</v>
      </c>
      <c r="W17" s="37">
        <f t="shared" si="2"/>
        <v>2.9586077140169329</v>
      </c>
      <c r="X17" s="37"/>
      <c r="Y17" s="48">
        <f>VLOOKUP($B17,'BaseLine Data'!$B$9:$CC$21,48,FALSE)*1000/J17</f>
        <v>19.362955032119913</v>
      </c>
      <c r="Z17" s="48">
        <f>VLOOKUP($B17,'BaseLine Data'!$B$9:$CC$21,49,FALSE)*1000/J17</f>
        <v>3.2548179871520344</v>
      </c>
      <c r="AA17" s="48">
        <f>VLOOKUP($B17,'BaseLine Data'!$B$9:$CC$21,50,FALSE)*1000/J17</f>
        <v>1.4935760171306209</v>
      </c>
      <c r="AB17" s="48">
        <f>VLOOKUP($B17,'BaseLine Data'!$B$9:$CC$21,51,FALSE)*1000/J17</f>
        <v>64.668094218415419</v>
      </c>
      <c r="AC17" s="48">
        <f>VLOOKUP($B17,'BaseLine Data'!$B$9:$CC$21,52,FALSE)*1000/J17</f>
        <v>3.2869379014989293</v>
      </c>
      <c r="AD17" s="48">
        <f>VLOOKUP($B17,'BaseLine Data'!$B$9:$CC$21,53,FALSE)*1000/J17</f>
        <v>1.4935760171306209</v>
      </c>
      <c r="AE17" s="48">
        <f>VLOOKUP($B17,'BaseLine Data'!$B$9:$CC$21,42,FALSE)</f>
        <v>3</v>
      </c>
    </row>
    <row r="18" spans="1:33">
      <c r="A18" s="10" t="s">
        <v>24</v>
      </c>
      <c r="B18" s="11" t="s">
        <v>36</v>
      </c>
      <c r="C18" s="11">
        <f>VLOOKUP($B18,'BaseLine Data'!$B9:$AQ21,2,FALSE)</f>
        <v>1</v>
      </c>
      <c r="D18" s="11" t="str">
        <f>VLOOKUP($B18,'BaseLine Data'!$B9:$AQ21,3,FALSE)</f>
        <v>Brookline</v>
      </c>
      <c r="E18" s="11">
        <f>VLOOKUP($B18,'BaseLine Data'!$B9:$AQ21,4,FALSE)</f>
        <v>2284</v>
      </c>
      <c r="F18" s="11">
        <f>VLOOKUP($B18,'BaseLine Data'!$B9:$AQ21,2,FALSE)</f>
        <v>1</v>
      </c>
      <c r="G18" s="11">
        <f>VLOOKUP($B18,'BaseLine Data'!$B9:$AQ21,6,FALSE)</f>
        <v>3</v>
      </c>
      <c r="H18" s="11">
        <f>VLOOKUP($B18,'BaseLine Data'!$B9:$AQ21,7,FALSE)</f>
        <v>1899</v>
      </c>
      <c r="I18" s="11">
        <f>VLOOKUP($B18,'BaseLine Data'!$B9:$AQ21,13,FALSE)</f>
        <v>3078</v>
      </c>
      <c r="J18" s="11">
        <f>VLOOKUP($B18,'BaseLine Data'!$B9:$AQ21,14,FALSE)</f>
        <v>3174</v>
      </c>
      <c r="K18" s="11">
        <f>VLOOKUP($B18,'BaseLine Data'!$B9:$AQ21,19,FALSE)</f>
        <v>1640</v>
      </c>
      <c r="L18" s="11">
        <f>VLOOKUP($B18,'BaseLine Data'!$B9:$AQ21,20,FALSE)</f>
        <v>655</v>
      </c>
      <c r="M18" s="47">
        <f>VLOOKUP($B18,'BaseLine Data'!$B9:$AQ21,21,FALSE)</f>
        <v>3.7575896437163481</v>
      </c>
      <c r="N18" s="47">
        <f>VLOOKUP($B18,'BaseLine Data'!$B9:$AQ21,22,FALSE)</f>
        <v>1.5007446442891512</v>
      </c>
      <c r="O18" s="47">
        <f>VLOOKUP($B18,'BaseLine Data'!$B9:$AQ21,25,FALSE)</f>
        <v>0.53281351526965559</v>
      </c>
      <c r="P18" s="47">
        <f>VLOOKUP($B18,'BaseLine Data'!$B9:$AQ21,26,FALSE)</f>
        <v>0.20636420919974796</v>
      </c>
      <c r="Q18" s="82">
        <f>VLOOKUP($B18,'BaseLine Data'!$B9:$AQ21,32,FALSE)</f>
        <v>28.04</v>
      </c>
      <c r="R18" s="48">
        <f t="shared" si="0"/>
        <v>8.8342785129174537</v>
      </c>
      <c r="S18" s="82">
        <f>VLOOKUP($B18,'BaseLine Data'!$B9:$AQ21,33,FALSE)</f>
        <v>43.43</v>
      </c>
      <c r="T18" s="37">
        <f t="shared" si="1"/>
        <v>13.683049779458097</v>
      </c>
      <c r="U18" s="82">
        <f>VLOOKUP($B18,'BaseLine Data'!$B$9:$AQ$21,29,FALSE)*1000/J18</f>
        <v>0</v>
      </c>
      <c r="V18" s="82">
        <f>VLOOKUP($B18,'BaseLine Data'!$B$9:$AQ$21,30,FALSE)*1000/J18</f>
        <v>0</v>
      </c>
      <c r="W18" s="37">
        <f t="shared" si="2"/>
        <v>1.5488587731811698</v>
      </c>
      <c r="X18" s="37"/>
      <c r="Y18" s="48">
        <f>VLOOKUP($B18,'BaseLine Data'!$B$9:$CC$21,48,FALSE)*1000/J18</f>
        <v>1.9344675488342784</v>
      </c>
      <c r="Z18" s="48">
        <f>VLOOKUP($B18,'BaseLine Data'!$B$9:$CC$21,49,FALSE)*1000/J18</f>
        <v>6.8998109640831755</v>
      </c>
      <c r="AA18" s="48">
        <f>VLOOKUP($B18,'BaseLine Data'!$B$9:$CC$21,50,FALSE)*1000/J18</f>
        <v>0</v>
      </c>
      <c r="AB18" s="48">
        <f>VLOOKUP($B18,'BaseLine Data'!$B$9:$CC$21,51,FALSE)*1000/J18</f>
        <v>6.4587271581600501</v>
      </c>
      <c r="AC18" s="48">
        <f>VLOOKUP($B18,'BaseLine Data'!$B$9:$CC$21,52,FALSE)*1000/J18</f>
        <v>7.2243226212980467</v>
      </c>
      <c r="AD18" s="48">
        <f>VLOOKUP($B18,'BaseLine Data'!$B$9:$CC$21,53,FALSE)*1000/J18</f>
        <v>0</v>
      </c>
      <c r="AE18" s="48">
        <f>VLOOKUP($B18,'BaseLine Data'!$B$9:$CC$21,42,FALSE)</f>
        <v>11</v>
      </c>
    </row>
    <row r="19" spans="1:33">
      <c r="A19" s="10" t="s">
        <v>24</v>
      </c>
      <c r="B19" s="11" t="s">
        <v>37</v>
      </c>
      <c r="C19" s="11">
        <f>VLOOKUP($B19,'BaseLine Data'!$B9:$AQ21,2,FALSE)</f>
        <v>1</v>
      </c>
      <c r="D19" s="11" t="str">
        <f>VLOOKUP($B19,'BaseLine Data'!$B9:$AQ21,3,FALSE)</f>
        <v>Westford</v>
      </c>
      <c r="E19" s="11">
        <f>VLOOKUP($B19,'BaseLine Data'!$B9:$AQ21,4,FALSE)</f>
        <v>2906</v>
      </c>
      <c r="F19" s="11">
        <f>VLOOKUP($B19,'BaseLine Data'!$B9:$AQ21,2,FALSE)</f>
        <v>1</v>
      </c>
      <c r="G19" s="11">
        <f>VLOOKUP($B19,'BaseLine Data'!$B9:$AQ21,6,FALSE)</f>
        <v>2</v>
      </c>
      <c r="H19" s="11">
        <f>VLOOKUP($B19,'BaseLine Data'!$B9:$AQ21,7,FALSE)</f>
        <v>1993</v>
      </c>
      <c r="I19" s="11">
        <f>VLOOKUP($B19,'BaseLine Data'!$B9:$AQ21,13,FALSE)</f>
        <v>2906</v>
      </c>
      <c r="J19" s="11">
        <f>VLOOKUP($B19,'BaseLine Data'!$B9:$AQ21,14,FALSE)</f>
        <v>3955</v>
      </c>
      <c r="K19" s="11">
        <f>VLOOKUP($B19,'BaseLine Data'!$B9:$AQ21,19,FALSE)</f>
        <v>2592</v>
      </c>
      <c r="L19" s="11">
        <f>VLOOKUP($B19,'BaseLine Data'!$B9:$AQ21,20,FALSE)</f>
        <v>930</v>
      </c>
      <c r="M19" s="47">
        <f>VLOOKUP($B19,'BaseLine Data'!$B9:$AQ21,21,FALSE)</f>
        <v>4.8259169614596908</v>
      </c>
      <c r="N19" s="47">
        <f>VLOOKUP($B19,'BaseLine Data'!$B9:$AQ21,22,FALSE)</f>
        <v>1.2546374367622262</v>
      </c>
      <c r="O19" s="47">
        <f>VLOOKUP($B19,'BaseLine Data'!$B9:$AQ21,25,FALSE)</f>
        <v>0.89194769442532695</v>
      </c>
      <c r="P19" s="47">
        <f>VLOOKUP($B19,'BaseLine Data'!$B9:$AQ21,26,FALSE)</f>
        <v>0.23514538558786346</v>
      </c>
      <c r="Q19" s="82">
        <f>VLOOKUP($B19,'BaseLine Data'!$B9:$AQ21,32,FALSE)</f>
        <v>56.66</v>
      </c>
      <c r="R19" s="48">
        <f t="shared" si="0"/>
        <v>14.326169405815424</v>
      </c>
      <c r="S19" s="82">
        <f>VLOOKUP($B19,'BaseLine Data'!$B9:$AQ21,33,FALSE)</f>
        <v>103.25</v>
      </c>
      <c r="T19" s="37">
        <f t="shared" si="1"/>
        <v>26.106194690265486</v>
      </c>
      <c r="U19" s="82">
        <f>VLOOKUP($B19,'BaseLine Data'!$B$9:$AQ$21,29,FALSE)*1000/J19</f>
        <v>0</v>
      </c>
      <c r="V19" s="82">
        <f>VLOOKUP($B19,'BaseLine Data'!$B$9:$AQ$21,30,FALSE)*1000/J19</f>
        <v>0</v>
      </c>
      <c r="W19" s="37">
        <f t="shared" si="2"/>
        <v>1.822273208612778</v>
      </c>
      <c r="X19" s="37"/>
      <c r="Y19" s="48">
        <f>VLOOKUP($B19,'BaseLine Data'!$B$9:$CC$21,48,FALSE)*1000/J19</f>
        <v>4.8445006321112514</v>
      </c>
      <c r="Z19" s="48">
        <f>VLOOKUP($B19,'BaseLine Data'!$B$9:$CC$21,49,FALSE)*1000/J19</f>
        <v>9.4816687737041718</v>
      </c>
      <c r="AA19" s="48">
        <f>VLOOKUP($B19,'BaseLine Data'!$B$9:$CC$21,50,FALSE)*1000/J19</f>
        <v>0</v>
      </c>
      <c r="AB19" s="48">
        <f>VLOOKUP($B19,'BaseLine Data'!$B$9:$CC$21,51,FALSE)*1000/J19</f>
        <v>16.176991150442479</v>
      </c>
      <c r="AC19" s="48">
        <f>VLOOKUP($B19,'BaseLine Data'!$B$9:$CC$21,52,FALSE)*1000/J19</f>
        <v>9.9266750948166873</v>
      </c>
      <c r="AD19" s="48">
        <f>VLOOKUP($B19,'BaseLine Data'!$B$9:$CC$21,53,FALSE)*1000/J19</f>
        <v>0</v>
      </c>
      <c r="AE19" s="48">
        <f>VLOOKUP($B19,'BaseLine Data'!$B$9:$CC$21,42,FALSE)</f>
        <v>12</v>
      </c>
    </row>
    <row r="20" spans="1:33" ht="30">
      <c r="A20" s="10" t="s">
        <v>31</v>
      </c>
      <c r="B20" s="11" t="s">
        <v>38</v>
      </c>
      <c r="C20" s="11">
        <f>VLOOKUP($B20,'BaseLine Data'!$B9:$AQ21,2,FALSE)</f>
        <v>1</v>
      </c>
      <c r="D20" s="11" t="str">
        <f>VLOOKUP($B20,'BaseLine Data'!$B9:$AQ21,3,FALSE)</f>
        <v>Gloucester</v>
      </c>
      <c r="E20" s="11">
        <f>VLOOKUP($B20,'BaseLine Data'!$B9:$AQ21,4,FALSE)</f>
        <v>2171</v>
      </c>
      <c r="F20" s="11">
        <f>VLOOKUP($B20,'BaseLine Data'!$B9:$AQ21,2,FALSE)</f>
        <v>1</v>
      </c>
      <c r="G20" s="11">
        <f>VLOOKUP($B20,'BaseLine Data'!$B9:$AQ21,6,FALSE)</f>
        <v>2</v>
      </c>
      <c r="H20" s="11">
        <f>VLOOKUP($B20,'BaseLine Data'!$B9:$AQ21,7,FALSE)</f>
        <v>1920</v>
      </c>
      <c r="I20" s="11">
        <f>VLOOKUP($B20,'BaseLine Data'!$B9:$AQ21,13,FALSE)</f>
        <v>2171</v>
      </c>
      <c r="J20" s="11">
        <f>VLOOKUP($B20,'BaseLine Data'!$B9:$AQ21,14,FALSE)</f>
        <v>2424</v>
      </c>
      <c r="K20" s="11">
        <f>VLOOKUP($B20,'BaseLine Data'!$B9:$AQ21,19,FALSE)</f>
        <v>2258</v>
      </c>
      <c r="L20" s="11">
        <f>VLOOKUP($B20,'BaseLine Data'!$B9:$AQ21,20,FALSE)</f>
        <v>235</v>
      </c>
      <c r="M20" s="47" t="e">
        <f>VLOOKUP($B20,'BaseLine Data'!$B9:$AQ21,21,FALSE)</f>
        <v>#DIV/0!</v>
      </c>
      <c r="N20" s="47">
        <f>VLOOKUP($B20,'BaseLine Data'!$B9:$AQ21,22,FALSE)</f>
        <v>0.60554004724071286</v>
      </c>
      <c r="O20" s="47">
        <f>VLOOKUP($B20,'BaseLine Data'!$B9:$AQ21,25,FALSE)</f>
        <v>1.0400736987563335</v>
      </c>
      <c r="P20" s="47">
        <f>VLOOKUP($B20,'BaseLine Data'!$B9:$AQ21,26,FALSE)</f>
        <v>9.6947194719471941E-2</v>
      </c>
      <c r="Q20" s="82">
        <f>VLOOKUP($B20,'BaseLine Data'!$B9:$AQ21,32,FALSE)</f>
        <v>19.55</v>
      </c>
      <c r="R20" s="48">
        <f t="shared" si="0"/>
        <v>8.0651815181518156</v>
      </c>
      <c r="S20" s="82">
        <f>VLOOKUP($B20,'BaseLine Data'!$B9:$AQ21,33,FALSE)</f>
        <v>65.28</v>
      </c>
      <c r="T20" s="37">
        <f t="shared" si="1"/>
        <v>26.93069306930693</v>
      </c>
      <c r="U20" s="82">
        <f>VLOOKUP($B20,'BaseLine Data'!$B$9:$AQ$21,29,FALSE)*1000/J20</f>
        <v>0</v>
      </c>
      <c r="V20" s="82">
        <f>VLOOKUP($B20,'BaseLine Data'!$B$9:$AQ$21,30,FALSE)*1000/J20</f>
        <v>0</v>
      </c>
      <c r="W20" s="37">
        <f t="shared" si="2"/>
        <v>3.3391304347826085</v>
      </c>
      <c r="X20" s="37"/>
      <c r="Y20" s="48">
        <f>VLOOKUP($B20,'BaseLine Data'!$B$9:$CC$21,48,FALSE)*1000/J20</f>
        <v>8.0651815181518156</v>
      </c>
      <c r="Z20" s="48">
        <f>VLOOKUP($B20,'BaseLine Data'!$B$9:$CC$21,49,FALSE)*1000/J20</f>
        <v>0</v>
      </c>
      <c r="AA20" s="48">
        <f>VLOOKUP($B20,'BaseLine Data'!$B$9:$CC$21,50,FALSE)*1000/J20</f>
        <v>0</v>
      </c>
      <c r="AB20" s="48">
        <f>VLOOKUP($B20,'BaseLine Data'!$B$9:$CC$21,51,FALSE)*1000/J20</f>
        <v>26.93069306930693</v>
      </c>
      <c r="AC20" s="48">
        <f>VLOOKUP($B20,'BaseLine Data'!$B$9:$CC$21,52,FALSE)*1000/J20</f>
        <v>0</v>
      </c>
      <c r="AD20" s="48">
        <f>VLOOKUP($B20,'BaseLine Data'!$B$9:$CC$21,53,FALSE)*1000/J20</f>
        <v>0</v>
      </c>
      <c r="AE20" s="48">
        <f>VLOOKUP($B20,'BaseLine Data'!$B$9:$CC$21,42,FALSE)</f>
        <v>14</v>
      </c>
    </row>
    <row r="21" spans="1:33" ht="90">
      <c r="A21" s="10" t="s">
        <v>24</v>
      </c>
      <c r="B21" s="11" t="s">
        <v>35</v>
      </c>
      <c r="C21" s="11">
        <f>VLOOKUP($B21,'BaseLine Data'!$B9:$AQ21,2,FALSE)</f>
        <v>1</v>
      </c>
      <c r="D21" s="11" t="str">
        <f>VLOOKUP($B21,'BaseLine Data'!$B9:$AQ21,3,FALSE)</f>
        <v>Lancaster</v>
      </c>
      <c r="E21" s="11">
        <f>VLOOKUP($B21,'BaseLine Data'!$B9:$AQ21,4,FALSE)</f>
        <v>908</v>
      </c>
      <c r="F21" s="11">
        <f>VLOOKUP($B21,'BaseLine Data'!$B9:$AQ21,2,FALSE)</f>
        <v>1</v>
      </c>
      <c r="G21" s="11">
        <f>VLOOKUP($B21,'BaseLine Data'!$B9:$AQ21,6,FALSE)</f>
        <v>2</v>
      </c>
      <c r="H21" s="11">
        <f>VLOOKUP($B21,'BaseLine Data'!$B9:$AQ21,7,FALSE)</f>
        <v>1900</v>
      </c>
      <c r="I21" s="11">
        <f>VLOOKUP($B21,'BaseLine Data'!$B9:$AQ21,13,FALSE)</f>
        <v>980</v>
      </c>
      <c r="J21" s="11">
        <f>VLOOKUP($B21,'BaseLine Data'!$B9:$AQ21,14,FALSE)</f>
        <v>1440</v>
      </c>
      <c r="K21" s="11">
        <f>VLOOKUP($B21,'BaseLine Data'!$B9:$AQ21,19,FALSE)</f>
        <v>4254</v>
      </c>
      <c r="L21" s="11">
        <f>VLOOKUP($B21,'BaseLine Data'!$B9:$AQ21,20,FALSE)</f>
        <v>293</v>
      </c>
      <c r="M21" s="47">
        <f>VLOOKUP($B21,'BaseLine Data'!$B9:$AQ21,21,FALSE)</f>
        <v>36.050847457627121</v>
      </c>
      <c r="N21" s="47">
        <f>VLOOKUP($B21,'BaseLine Data'!$B9:$AQ21,22,FALSE)</f>
        <v>1.4250972762645915</v>
      </c>
      <c r="O21" s="47">
        <f>VLOOKUP($B21,'BaseLine Data'!$B9:$AQ21,25,FALSE)</f>
        <v>4.3408163265306126</v>
      </c>
      <c r="P21" s="47">
        <f>VLOOKUP($B21,'BaseLine Data'!$B9:$AQ21,26,FALSE)</f>
        <v>0.20347222222222222</v>
      </c>
      <c r="Q21" s="82">
        <f>VLOOKUP($B21,'BaseLine Data'!$B9:$AQ21,32,FALSE)</f>
        <v>22.26</v>
      </c>
      <c r="R21" s="48">
        <f t="shared" si="0"/>
        <v>15.458333333333334</v>
      </c>
      <c r="S21" s="82">
        <f>VLOOKUP($B21,'BaseLine Data'!$B9:$AQ21,33,FALSE)</f>
        <v>50.03</v>
      </c>
      <c r="T21" s="37">
        <f t="shared" si="1"/>
        <v>34.743055555555557</v>
      </c>
      <c r="U21" s="82">
        <f>VLOOKUP($B21,'BaseLine Data'!$B$9:$AQ$21,29,FALSE)*1000/J21</f>
        <v>0</v>
      </c>
      <c r="V21" s="82">
        <f>VLOOKUP($B21,'BaseLine Data'!$B$9:$AQ$21,30,FALSE)*1000/J21</f>
        <v>0</v>
      </c>
      <c r="W21" s="37">
        <f t="shared" si="2"/>
        <v>2.2475292003593887</v>
      </c>
      <c r="X21" s="37"/>
      <c r="Y21" s="48">
        <f>VLOOKUP($B21,'BaseLine Data'!$B$9:$CC$21,48,FALSE)*1000/J21</f>
        <v>8.0972222222222214</v>
      </c>
      <c r="Z21" s="48">
        <f>VLOOKUP($B21,'BaseLine Data'!$B$9:$CC$21,49,FALSE)*1000/J21</f>
        <v>7.3611111111111107</v>
      </c>
      <c r="AA21" s="48">
        <f>VLOOKUP($B21,'BaseLine Data'!$B$9:$CC$21,50,FALSE)*1000/J21</f>
        <v>0</v>
      </c>
      <c r="AB21" s="48">
        <f>VLOOKUP($B21,'BaseLine Data'!$B$9:$CC$21,51,FALSE)*1000/J21</f>
        <v>27.034722222222221</v>
      </c>
      <c r="AC21" s="48">
        <f>VLOOKUP($B21,'BaseLine Data'!$B$9:$CC$21,52,FALSE)*1000/J21</f>
        <v>7.708333333333333</v>
      </c>
      <c r="AD21" s="48">
        <f>VLOOKUP($B21,'BaseLine Data'!$B$9:$CC$21,53,FALSE)*1000/J21</f>
        <v>0</v>
      </c>
      <c r="AE21" s="48">
        <f>VLOOKUP($B21,'BaseLine Data'!$B$9:$CC$21,42,FALSE)</f>
        <v>10</v>
      </c>
    </row>
    <row r="22" spans="1:33">
      <c r="T22" s="37">
        <f>AVERAGEA(T10:T21)</f>
        <v>22.744508614343633</v>
      </c>
      <c r="U22" s="37"/>
      <c r="W22" s="37">
        <f>AVERAGEA(W9:W21)</f>
        <v>2.2475936483990684</v>
      </c>
      <c r="X22" s="37"/>
      <c r="Y22" s="82"/>
      <c r="Z22" s="82"/>
      <c r="AA22" s="82"/>
      <c r="AB22" s="82"/>
      <c r="AC22" s="82"/>
      <c r="AD22" s="82"/>
      <c r="AE22" s="82"/>
      <c r="AF22" s="82"/>
    </row>
    <row r="23" spans="1:33">
      <c r="B23" s="39"/>
      <c r="J23" s="38"/>
      <c r="L23" s="37"/>
      <c r="M23" s="35"/>
      <c r="N23" s="37"/>
      <c r="P23" s="35"/>
    </row>
    <row r="24" spans="1:33">
      <c r="B24" s="39"/>
      <c r="L24" s="37"/>
      <c r="M24" s="37"/>
      <c r="N24" s="37"/>
    </row>
    <row r="25" spans="1:33">
      <c r="B25" s="39"/>
      <c r="L25" s="37"/>
      <c r="M25" s="35"/>
      <c r="N25" s="37"/>
    </row>
    <row r="26" spans="1:33">
      <c r="B26" s="39"/>
      <c r="L26" s="37"/>
      <c r="M26" s="37"/>
      <c r="N26" s="37"/>
      <c r="Y26" s="37"/>
    </row>
    <row r="30" spans="1:33">
      <c r="Z30" t="s">
        <v>186</v>
      </c>
      <c r="AC30" t="s">
        <v>187</v>
      </c>
    </row>
    <row r="31" spans="1:33" ht="135">
      <c r="Z31" s="55" t="str">
        <f>Y7</f>
        <v>12 (or 6) months post-retrofit electricity site MMBtu</v>
      </c>
      <c r="AA31" s="55" t="str">
        <f>Z7</f>
        <v>12 (or 6) months post-retrofit gas or propanesite MMBtu</v>
      </c>
      <c r="AB31" s="55" t="str">
        <f>AA7</f>
        <v>12 (or 6) months post-retrofit other site MMBtu</v>
      </c>
      <c r="AC31" s="55" t="str">
        <f>AB7</f>
        <v>12 (or 6) months post-retrofit electricity source MMBtu</v>
      </c>
      <c r="AD31" s="55" t="str">
        <f>AC7</f>
        <v>12 (or 6) months post-retrofit natural gas or propane source MMBtu</v>
      </c>
      <c r="AE31" s="55" t="str">
        <f>AD7</f>
        <v>12 (or 6)months pre-retrofit other source MMBtu</v>
      </c>
      <c r="AF31" s="55"/>
      <c r="AG31" s="55"/>
    </row>
    <row r="32" spans="1:33">
      <c r="Z32" t="s">
        <v>160</v>
      </c>
      <c r="AA32" t="s">
        <v>161</v>
      </c>
      <c r="AB32" t="s">
        <v>163</v>
      </c>
      <c r="AC32" t="s">
        <v>160</v>
      </c>
      <c r="AD32" t="s">
        <v>161</v>
      </c>
      <c r="AE32" t="s">
        <v>163</v>
      </c>
    </row>
    <row r="34" spans="24:34">
      <c r="X34" t="str">
        <f>D9</f>
        <v>Belchertown</v>
      </c>
      <c r="Y34" t="str">
        <f>D9</f>
        <v>Belchertown</v>
      </c>
      <c r="Z34">
        <f>Y9</f>
        <v>3.3508127949659152</v>
      </c>
      <c r="AA34">
        <f>Z9</f>
        <v>16.119559517566859</v>
      </c>
      <c r="AB34">
        <f>AA9</f>
        <v>0</v>
      </c>
    </row>
    <row r="35" spans="24:34">
      <c r="X35" t="str">
        <f>D10</f>
        <v>Quincy</v>
      </c>
      <c r="AC35">
        <f>AB9</f>
        <v>11.19559517566859</v>
      </c>
      <c r="AD35">
        <f>AC9</f>
        <v>16.282118510749868</v>
      </c>
      <c r="AE35">
        <f>AD9</f>
        <v>0</v>
      </c>
    </row>
    <row r="36" spans="24:34">
      <c r="X36" t="str">
        <f t="shared" ref="X36:X46" si="3">D11</f>
        <v>Belmont</v>
      </c>
      <c r="AG36" s="37"/>
      <c r="AH36" s="37"/>
    </row>
    <row r="37" spans="24:34">
      <c r="X37" t="str">
        <f t="shared" si="3"/>
        <v>Northampton</v>
      </c>
    </row>
    <row r="38" spans="24:34">
      <c r="X38" t="str">
        <f t="shared" si="3"/>
        <v>Jamaica Plain</v>
      </c>
      <c r="Y38" t="str">
        <f>D10</f>
        <v>Quincy</v>
      </c>
      <c r="Z38">
        <f>Y10</f>
        <v>7.3798076923076925</v>
      </c>
      <c r="AA38">
        <f>Z10</f>
        <v>5.7255244755244759</v>
      </c>
      <c r="AB38">
        <f>AA10</f>
        <v>0</v>
      </c>
    </row>
    <row r="39" spans="24:34">
      <c r="X39" t="str">
        <f t="shared" si="3"/>
        <v>Milton</v>
      </c>
      <c r="AC39">
        <f>AB10</f>
        <v>24.648164335664337</v>
      </c>
      <c r="AD39">
        <f>AC10</f>
        <v>5.9943181818181817</v>
      </c>
      <c r="AE39">
        <f>AD10</f>
        <v>0</v>
      </c>
    </row>
    <row r="40" spans="24:34">
      <c r="X40" t="str">
        <f t="shared" si="3"/>
        <v>Newton</v>
      </c>
      <c r="AG40" s="37"/>
      <c r="AH40" s="37"/>
    </row>
    <row r="41" spans="24:34">
      <c r="X41" t="str">
        <f t="shared" si="3"/>
        <v>Arlington</v>
      </c>
    </row>
    <row r="42" spans="24:34">
      <c r="X42" t="str">
        <f t="shared" si="3"/>
        <v>Millbury</v>
      </c>
      <c r="Y42" t="str">
        <f>D11</f>
        <v>Belmont</v>
      </c>
      <c r="Z42">
        <f>Y11</f>
        <v>8.1711409395973149</v>
      </c>
      <c r="AA42">
        <f>Z11</f>
        <v>4.2785234899328861</v>
      </c>
      <c r="AB42">
        <f>AA11</f>
        <v>0</v>
      </c>
    </row>
    <row r="43" spans="24:34">
      <c r="X43" t="str">
        <f t="shared" si="3"/>
        <v>Brookline</v>
      </c>
      <c r="AC43">
        <f>AB11</f>
        <v>27.290268456375838</v>
      </c>
      <c r="AD43">
        <f>AC11</f>
        <v>4.4798657718120802</v>
      </c>
      <c r="AE43">
        <f>AD11</f>
        <v>0</v>
      </c>
    </row>
    <row r="44" spans="24:34">
      <c r="X44" t="str">
        <f t="shared" si="3"/>
        <v>Westford</v>
      </c>
      <c r="AG44" s="37"/>
      <c r="AH44" s="37"/>
    </row>
    <row r="45" spans="24:34">
      <c r="X45" t="str">
        <f t="shared" si="3"/>
        <v>Gloucester</v>
      </c>
    </row>
    <row r="46" spans="24:34">
      <c r="X46" t="str">
        <f t="shared" si="3"/>
        <v>Lancaster</v>
      </c>
      <c r="Y46" t="str">
        <f>D12</f>
        <v>Northampton</v>
      </c>
      <c r="Z46">
        <f>Y12</f>
        <v>9.5631598107025848</v>
      </c>
      <c r="AA46">
        <f>Z12</f>
        <v>0</v>
      </c>
      <c r="AB46">
        <f>AA12</f>
        <v>0</v>
      </c>
    </row>
    <row r="47" spans="24:34">
      <c r="AC47">
        <f>AB12</f>
        <v>31.940298507462686</v>
      </c>
      <c r="AD47">
        <f>AC12</f>
        <v>0</v>
      </c>
      <c r="AE47">
        <f>AD12</f>
        <v>0</v>
      </c>
    </row>
    <row r="48" spans="24:34">
      <c r="AG48" s="37"/>
      <c r="AH48" s="37"/>
    </row>
    <row r="50" spans="25:34">
      <c r="Y50" t="str">
        <f>D13</f>
        <v>Jamaica Plain</v>
      </c>
      <c r="Z50">
        <f>Y13</f>
        <v>5.4054054054054053</v>
      </c>
      <c r="AA50">
        <f>Z13</f>
        <v>20.54054054054054</v>
      </c>
      <c r="AB50">
        <f>AA13</f>
        <v>0</v>
      </c>
    </row>
    <row r="51" spans="25:34">
      <c r="AC51">
        <f>AB13</f>
        <v>18.054054054054053</v>
      </c>
      <c r="AD51">
        <f>AC13</f>
        <v>21.505791505791507</v>
      </c>
      <c r="AE51">
        <f>AD13</f>
        <v>0</v>
      </c>
    </row>
    <row r="52" spans="25:34">
      <c r="AG52" s="37"/>
      <c r="AH52" s="37"/>
    </row>
    <row r="54" spans="25:34">
      <c r="Y54" t="str">
        <f>D14</f>
        <v>Milton</v>
      </c>
      <c r="Z54">
        <f>Y14</f>
        <v>9.5819256756756754</v>
      </c>
      <c r="AA54">
        <f>Z14</f>
        <v>13.048986486486486</v>
      </c>
      <c r="AB54">
        <f>AA14</f>
        <v>0</v>
      </c>
    </row>
    <row r="55" spans="25:34">
      <c r="AC55">
        <f>AB14</f>
        <v>32.001689189189186</v>
      </c>
      <c r="AD55">
        <f>AC14</f>
        <v>13.661317567567568</v>
      </c>
      <c r="AE55">
        <f>AD14</f>
        <v>0</v>
      </c>
    </row>
    <row r="56" spans="25:34">
      <c r="AG56" s="37"/>
      <c r="AH56" s="37"/>
    </row>
    <row r="58" spans="25:34">
      <c r="Y58" t="str">
        <f>D15</f>
        <v>Newton</v>
      </c>
      <c r="Z58">
        <f>Y15</f>
        <v>11.123237835379719</v>
      </c>
      <c r="AA58">
        <f>Z15</f>
        <v>18.963165075034105</v>
      </c>
      <c r="AB58">
        <f>AA15</f>
        <v>0</v>
      </c>
    </row>
    <row r="59" spans="25:34">
      <c r="AC59">
        <f>AB15</f>
        <v>37.153251477944522</v>
      </c>
      <c r="AD59">
        <f>AC15</f>
        <v>19.854479308776718</v>
      </c>
      <c r="AE59">
        <f>AD15</f>
        <v>0</v>
      </c>
    </row>
    <row r="60" spans="25:34">
      <c r="AG60" s="37"/>
      <c r="AH60" s="37"/>
    </row>
    <row r="62" spans="25:34">
      <c r="Y62" t="str">
        <f>D16</f>
        <v>Arlington</v>
      </c>
      <c r="Z62">
        <f>Y16</f>
        <v>13.358147229114971</v>
      </c>
      <c r="AA62">
        <f>Z16</f>
        <v>14.419630548662807</v>
      </c>
      <c r="AB62">
        <f>AA16</f>
        <v>0</v>
      </c>
    </row>
    <row r="63" spans="25:34">
      <c r="AC63">
        <f>AB16</f>
        <v>44.618141714915907</v>
      </c>
      <c r="AD63">
        <f>AC16</f>
        <v>15.097877033360904</v>
      </c>
      <c r="AE63">
        <f>AD16</f>
        <v>0</v>
      </c>
    </row>
    <row r="64" spans="25:34">
      <c r="AG64" s="37"/>
    </row>
    <row r="66" spans="25:33">
      <c r="Y66" t="str">
        <f>D17</f>
        <v>Millbury</v>
      </c>
      <c r="Z66">
        <f>Y17</f>
        <v>19.362955032119913</v>
      </c>
      <c r="AA66">
        <f>Z17</f>
        <v>3.2548179871520344</v>
      </c>
      <c r="AB66">
        <f>AA17</f>
        <v>1.4935760171306209</v>
      </c>
    </row>
    <row r="67" spans="25:33">
      <c r="AC67">
        <f>AB17</f>
        <v>64.668094218415419</v>
      </c>
      <c r="AD67">
        <f>AC17</f>
        <v>3.2869379014989293</v>
      </c>
      <c r="AE67">
        <f>AD17</f>
        <v>1.4935760171306209</v>
      </c>
    </row>
    <row r="68" spans="25:33">
      <c r="AG68" s="37"/>
    </row>
    <row r="70" spans="25:33">
      <c r="Y70" t="str">
        <f>D18</f>
        <v>Brookline</v>
      </c>
      <c r="Z70">
        <f>Y18</f>
        <v>1.9344675488342784</v>
      </c>
      <c r="AA70">
        <f>Z18</f>
        <v>6.8998109640831755</v>
      </c>
      <c r="AB70">
        <f>AA18</f>
        <v>0</v>
      </c>
    </row>
    <row r="71" spans="25:33">
      <c r="AC71">
        <f>AB18</f>
        <v>6.4587271581600501</v>
      </c>
      <c r="AD71">
        <f>AC18</f>
        <v>7.2243226212980467</v>
      </c>
      <c r="AE71">
        <f>AD18</f>
        <v>0</v>
      </c>
    </row>
    <row r="72" spans="25:33">
      <c r="AG72" s="37"/>
    </row>
    <row r="74" spans="25:33">
      <c r="Y74" t="str">
        <f>D19</f>
        <v>Westford</v>
      </c>
      <c r="Z74">
        <f>Y19</f>
        <v>4.8445006321112514</v>
      </c>
      <c r="AA74">
        <f>Z19</f>
        <v>9.4816687737041718</v>
      </c>
      <c r="AB74">
        <f>AA19</f>
        <v>0</v>
      </c>
    </row>
    <row r="75" spans="25:33">
      <c r="AC75">
        <f>AB19</f>
        <v>16.176991150442479</v>
      </c>
      <c r="AD75">
        <f>AC19</f>
        <v>9.9266750948166873</v>
      </c>
      <c r="AE75">
        <f>AD19</f>
        <v>0</v>
      </c>
    </row>
    <row r="76" spans="25:33">
      <c r="AG76" s="37"/>
    </row>
    <row r="78" spans="25:33">
      <c r="Y78" t="str">
        <f>D20</f>
        <v>Gloucester</v>
      </c>
      <c r="Z78">
        <f>Y20</f>
        <v>8.0651815181518156</v>
      </c>
      <c r="AA78">
        <f>Z20</f>
        <v>0</v>
      </c>
      <c r="AB78">
        <f>AA20</f>
        <v>0</v>
      </c>
    </row>
    <row r="79" spans="25:33">
      <c r="AC79">
        <f>AB20</f>
        <v>26.93069306930693</v>
      </c>
      <c r="AD79">
        <f>AC20</f>
        <v>0</v>
      </c>
      <c r="AE79">
        <f>AD20</f>
        <v>0</v>
      </c>
    </row>
    <row r="80" spans="25:33">
      <c r="AG80" s="37"/>
    </row>
    <row r="82" spans="25:34">
      <c r="Y82" t="str">
        <f>D21</f>
        <v>Lancaster</v>
      </c>
      <c r="Z82">
        <f>Y21</f>
        <v>8.0972222222222214</v>
      </c>
      <c r="AA82">
        <f>Z21</f>
        <v>7.3611111111111107</v>
      </c>
      <c r="AB82">
        <f>AA21</f>
        <v>0</v>
      </c>
    </row>
    <row r="83" spans="25:34">
      <c r="AC83">
        <f>AB21</f>
        <v>27.034722222222221</v>
      </c>
      <c r="AD83">
        <f>AC21</f>
        <v>7.708333333333333</v>
      </c>
      <c r="AE83">
        <f>AD21</f>
        <v>0</v>
      </c>
    </row>
    <row r="84" spans="25:34">
      <c r="AG84" s="37"/>
      <c r="AH84" s="37"/>
    </row>
  </sheetData>
  <sortState ref="A9:AI17">
    <sortCondition ref="V9:V17"/>
  </sortState>
  <dataValidations disablePrompts="1" count="2">
    <dataValidation type="list" allowBlank="1" showInputMessage="1" showErrorMessage="1" sqref="WUR9:WUS21 IF9:IG21 SB9:SC21 ABX9:ABY21 ALT9:ALU21 AVP9:AVQ21 BFL9:BFM21 BPH9:BPI21 BZD9:BZE21 CIZ9:CJA21 CSV9:CSW21 DCR9:DCS21 DMN9:DMO21 DWJ9:DWK21 EGF9:EGG21 EQB9:EQC21 EZX9:EZY21 FJT9:FJU21 FTP9:FTQ21 GDL9:GDM21 GNH9:GNI21 GXD9:GXE21 HGZ9:HHA21 HQV9:HQW21 IAR9:IAS21 IKN9:IKO21 IUJ9:IUK21 JEF9:JEG21 JOB9:JOC21 JXX9:JXY21 KHT9:KHU21 KRP9:KRQ21 LBL9:LBM21 LLH9:LLI21 LVD9:LVE21 MEZ9:MFA21 MOV9:MOW21 MYR9:MYS21 NIN9:NIO21 NSJ9:NSK21 OCF9:OCG21 OMB9:OMC21 OVX9:OVY21 PFT9:PFU21 PPP9:PPQ21 PZL9:PZM21 QJH9:QJI21 QTD9:QTE21 RCZ9:RDA21 RMV9:RMW21 RWR9:RWS21 SGN9:SGO21 SQJ9:SQK21 TAF9:TAG21 TKB9:TKC21 TTX9:TTY21 UDT9:UDU21 UNP9:UNQ21 UXL9:UXM21 VHH9:VHI21 VRD9:VRE21 WAZ9:WBA21 WKV9:WKW21">
      <formula1>'[1]Project Statistics'!$M$74:$M$75</formula1>
    </dataValidation>
    <dataValidation type="list" allowBlank="1" showInputMessage="1" showErrorMessage="1" sqref="WUQ9:WUQ21 IE9:IE21 SA9:SA21 ABW9:ABW21 ALS9:ALS21 AVO9:AVO21 BFK9:BFK21 BPG9:BPG21 BZC9:BZC21 CIY9:CIY21 CSU9:CSU21 DCQ9:DCQ21 DMM9:DMM21 DWI9:DWI21 EGE9:EGE21 EQA9:EQA21 EZW9:EZW21 FJS9:FJS21 FTO9:FTO21 GDK9:GDK21 GNG9:GNG21 GXC9:GXC21 HGY9:HGY21 HQU9:HQU21 IAQ9:IAQ21 IKM9:IKM21 IUI9:IUI21 JEE9:JEE21 JOA9:JOA21 JXW9:JXW21 KHS9:KHS21 KRO9:KRO21 LBK9:LBK21 LLG9:LLG21 LVC9:LVC21 MEY9:MEY21 MOU9:MOU21 MYQ9:MYQ21 NIM9:NIM21 NSI9:NSI21 OCE9:OCE21 OMA9:OMA21 OVW9:OVW21 PFS9:PFS21 PPO9:PPO21 PZK9:PZK21 QJG9:QJG21 QTC9:QTC21 RCY9:RCY21 RMU9:RMU21 RWQ9:RWQ21 SGM9:SGM21 SQI9:SQI21 TAE9:TAE21 TKA9:TKA21 TTW9:TTW21 UDS9:UDS21 UNO9:UNO21 UXK9:UXK21 VHG9:VHG21 VRC9:VRC21 WAY9:WAY21 WKU9:WKU21">
      <formula1>'[1]Project Statistics'!$K$74:$K$79</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dimension ref="A7:AF45"/>
  <sheetViews>
    <sheetView topLeftCell="B15" zoomScale="99" zoomScaleNormal="99" workbookViewId="0">
      <pane xSplit="1" topLeftCell="P1" activePane="topRight" state="frozen"/>
      <selection activeCell="B9" sqref="B9:X21"/>
      <selection pane="topRight" activeCell="V16" sqref="V16"/>
    </sheetView>
  </sheetViews>
  <sheetFormatPr defaultRowHeight="15"/>
  <cols>
    <col min="2" max="2" width="11.7109375" customWidth="1"/>
    <col min="3" max="3" width="8.7109375" customWidth="1"/>
    <col min="4" max="4" width="12.7109375" customWidth="1"/>
    <col min="6" max="6" width="11.5703125" customWidth="1"/>
    <col min="13" max="16" width="11.5703125" bestFit="1" customWidth="1"/>
    <col min="19" max="20" width="11.5703125" bestFit="1" customWidth="1"/>
  </cols>
  <sheetData>
    <row r="7" spans="1:30" ht="165.75" thickBot="1">
      <c r="B7" s="1" t="s">
        <v>0</v>
      </c>
      <c r="C7" s="11" t="str">
        <f>VLOOKUP($B7,'BaseLine Data'!$B7:$AQ21,2,FALSE)</f>
        <v>Number of Housing Units</v>
      </c>
      <c r="D7" s="11" t="str">
        <f>VLOOKUP($B7,'BaseLine Data'!$B7:$AQ21,3,FALSE)</f>
        <v>Location</v>
      </c>
      <c r="E7" s="11" t="str">
        <f>VLOOKUP($B7,'BaseLine Data'!$B7:$AQ21,4,FALSE)</f>
        <v>Pre-DER Cond. Floor Area
(sq.ft.)</v>
      </c>
      <c r="F7" s="11" t="str">
        <f>VLOOKUP($B7,'BaseLine Data'!$B7:$AQ21,2,FALSE)</f>
        <v>Number of Housing Units</v>
      </c>
      <c r="G7" s="11" t="str">
        <f>VLOOKUP($B7,'BaseLine Data'!$B7:$AQ21,6,FALSE)</f>
        <v>Stories</v>
      </c>
      <c r="H7" s="11" t="str">
        <f>VLOOKUP($B7,'BaseLine Data'!$B7:$AQ21,7,FALSE)</f>
        <v>Approx. Year Built</v>
      </c>
      <c r="I7" s="11" t="str">
        <f>VLOOKUP($B7,'BaseLine Data'!$B7:$AQ21,13,FALSE)</f>
        <v>Pre-DER Cond. Floor Area
(sq.ft.)</v>
      </c>
      <c r="J7" s="11" t="str">
        <f>VLOOKUP($B7,'BaseLine Data'!$B7:$AQ21,14,FALSE)</f>
        <v>Post-DER Con. Floor Area        (sq.ft.)</v>
      </c>
      <c r="K7" s="11" t="str">
        <f>VLOOKUP($B7,'BaseLine Data'!$B7:$AQ21,19,FALSE)</f>
        <v>Pre-DER   CFM 50</v>
      </c>
      <c r="L7" s="11" t="str">
        <f>VLOOKUP($B7,'BaseLine Data'!$B7:$AQ21,20,FALSE)</f>
        <v>Post-DER CFM 50</v>
      </c>
      <c r="M7" s="11" t="str">
        <f>VLOOKUP($B7,'BaseLine Data'!$B7:$AQ21,21,FALSE)</f>
        <v xml:space="preserve">Pre-DER   ACH 50 </v>
      </c>
      <c r="N7" s="11" t="str">
        <f>VLOOKUP($B7,'BaseLine Data'!$B7:$AQ21,22,FALSE)</f>
        <v xml:space="preserve">Post-DER ACH 50 </v>
      </c>
      <c r="O7" s="11" t="str">
        <f>VLOOKUP($B7,'BaseLine Data'!$B7:$AQ21,25,FALSE)</f>
        <v>Pre-DER CFM/sf Conditioned floor area</v>
      </c>
      <c r="P7" s="11" t="str">
        <f>VLOOKUP($B7,'BaseLine Data'!$B7:$AQ21,26,FALSE)</f>
        <v>Post-DER CFM/sf Conditioned floor area</v>
      </c>
      <c r="Q7" s="11" t="str">
        <f>VLOOKUP($B7,'BaseLine Data'!$B7:$AQ21,32,FALSE)</f>
        <v>6 months site MMBtu</v>
      </c>
      <c r="R7" s="11" t="s">
        <v>54</v>
      </c>
      <c r="S7" s="11" t="str">
        <f>VLOOKUP($B7,'BaseLine Data'!$B7:$AQ21,33,FALSE)</f>
        <v>6 months source MMBtu</v>
      </c>
      <c r="T7" s="11" t="str">
        <f>VLOOKUP($B7,'BaseLine Data'!$B7:$AQ21,34,FALSE)</f>
        <v>6 months source w PV credit</v>
      </c>
      <c r="U7" s="56" t="s">
        <v>65</v>
      </c>
      <c r="V7" s="11" t="str">
        <f>VLOOKUP($B7,'BaseLine Data'!$B7:$CC21,59,FALSE)</f>
        <v>6 months post-retrofit electricity source adjusted for on-site gen + used source MMBtu</v>
      </c>
      <c r="W7" s="11" t="str">
        <f>VLOOKUP($B7,'BaseLine Data'!$B7:$CC21,55,FALSE)</f>
        <v>6 month post-retrofit on-site gen + used electricity</v>
      </c>
      <c r="X7" s="56" t="s">
        <v>193</v>
      </c>
      <c r="Y7" s="11" t="str">
        <f>VLOOKUP($B7,'BaseLine Data'!$B7:$CC21,60,FALSE)</f>
        <v>6 months post-retrofit natural gas or propane source MMBtu</v>
      </c>
      <c r="Z7" s="55" t="s">
        <v>199</v>
      </c>
      <c r="AA7" s="55" t="s">
        <v>200</v>
      </c>
      <c r="AB7" s="11" t="str">
        <f>VLOOKUP($B7,'BaseLine Data'!$B7:$CC21,54,FALSE)</f>
        <v>6months post-retrofit electricity site MMBtu</v>
      </c>
      <c r="AC7" s="11" t="s">
        <v>201</v>
      </c>
      <c r="AD7" s="11" t="str">
        <f>VLOOKUP($B7,'BaseLine Data'!$B7:$CC21,56,FALSE)</f>
        <v>6months post-retrofit gas or propanesite MMBtu</v>
      </c>
    </row>
    <row r="8" spans="1:30" ht="71.25">
      <c r="A8" s="9"/>
      <c r="B8" s="49" t="s">
        <v>23</v>
      </c>
      <c r="C8" s="50"/>
      <c r="D8" s="50"/>
      <c r="E8" s="50"/>
      <c r="F8" s="50"/>
      <c r="G8" s="50"/>
      <c r="H8" s="50"/>
      <c r="I8" s="51"/>
      <c r="J8" s="52"/>
      <c r="K8" s="53"/>
      <c r="L8" s="53"/>
      <c r="M8" s="54"/>
      <c r="N8" s="41"/>
      <c r="O8" s="53"/>
      <c r="P8" s="41"/>
    </row>
    <row r="9" spans="1:30">
      <c r="A9" s="10" t="s">
        <v>24</v>
      </c>
      <c r="B9" s="11" t="s">
        <v>25</v>
      </c>
      <c r="C9" s="11">
        <f>VLOOKUP($B9,'BaseLine Data'!$B9:$AQ21,2,FALSE)</f>
        <v>1</v>
      </c>
      <c r="D9" s="11" t="str">
        <f>VLOOKUP($B9,'BaseLine Data'!$B9:$AQ21,3,FALSE)</f>
        <v>Belchertown</v>
      </c>
      <c r="E9" s="11">
        <f>VLOOKUP($B9,'BaseLine Data'!$B9:$AQ21,4,FALSE)</f>
        <v>1352</v>
      </c>
      <c r="F9" s="11">
        <f>VLOOKUP($B9,'BaseLine Data'!$B9:$AQ21,2,FALSE)</f>
        <v>1</v>
      </c>
      <c r="G9" s="11">
        <f>VLOOKUP($B9,'BaseLine Data'!$B9:$AQ21,6,FALSE)</f>
        <v>1.5</v>
      </c>
      <c r="H9" s="11">
        <f>VLOOKUP($B9,'BaseLine Data'!$B9:$AQ21,7,FALSE)</f>
        <v>1760</v>
      </c>
      <c r="I9" s="11">
        <f>VLOOKUP($B9,'BaseLine Data'!$B9:$AQ21,13,FALSE)</f>
        <v>1435</v>
      </c>
      <c r="J9" s="11">
        <f>VLOOKUP($B9,'BaseLine Data'!$B9:$AQ21,14,FALSE)</f>
        <v>1907</v>
      </c>
      <c r="K9" s="11">
        <f>VLOOKUP($B9,'BaseLine Data'!$B9:$AQ21,19,FALSE)</f>
        <v>9079</v>
      </c>
      <c r="L9" s="11">
        <f>VLOOKUP($B9,'BaseLine Data'!$B9:$AQ21,20,FALSE)</f>
        <v>468</v>
      </c>
      <c r="M9" s="47">
        <f>VLOOKUP($B9,'BaseLine Data'!$B9:$AQ21,21,FALSE)</f>
        <v>57.656646909398809</v>
      </c>
      <c r="N9" s="47">
        <f>VLOOKUP($B9,'BaseLine Data'!$B9:$AQ21,22,FALSE)</f>
        <v>1.8755009350788139</v>
      </c>
      <c r="O9" s="47">
        <f>VLOOKUP($B9,'BaseLine Data'!$B9:$AQ21,25,FALSE)</f>
        <v>6.3268292682926832</v>
      </c>
      <c r="P9" s="47">
        <f>VLOOKUP($B9,'BaseLine Data'!$B9:$AQ21,26,FALSE)</f>
        <v>0.2454116413214473</v>
      </c>
      <c r="Q9" s="40">
        <f>VLOOKUP($B9,'BaseLine Data'!$B9:$AQ21,32,FALSE)</f>
        <v>15.1</v>
      </c>
      <c r="R9" s="37">
        <f t="shared" ref="R9:R21" si="0">1000*Q9/J9</f>
        <v>7.9181961195595179</v>
      </c>
      <c r="S9" s="48">
        <f>VLOOKUP($B9,'BaseLine Data'!$B9:$AQ21,33,FALSE)</f>
        <v>22.29</v>
      </c>
      <c r="T9" s="82">
        <f>VLOOKUP($B9,'BaseLine Data'!$B9:$AQ21,34,FALSE)</f>
        <v>0</v>
      </c>
      <c r="U9" s="60">
        <v>0</v>
      </c>
      <c r="V9" s="98"/>
      <c r="W9" s="98"/>
      <c r="Y9" s="98"/>
      <c r="AA9" t="s">
        <v>44</v>
      </c>
    </row>
    <row r="10" spans="1:30" ht="30">
      <c r="A10" s="10" t="s">
        <v>24</v>
      </c>
      <c r="B10" s="17" t="s">
        <v>38</v>
      </c>
      <c r="C10" s="11">
        <f>VLOOKUP($B10,'BaseLine Data'!$B9:$AQ21,2,FALSE)</f>
        <v>1</v>
      </c>
      <c r="D10" s="11" t="str">
        <f>VLOOKUP($B10,'BaseLine Data'!$B9:$AQ21,3,FALSE)</f>
        <v>Gloucester</v>
      </c>
      <c r="E10" s="11">
        <f>VLOOKUP($B10,'BaseLine Data'!$B9:$AQ21,4,FALSE)</f>
        <v>2171</v>
      </c>
      <c r="F10" s="11">
        <f>VLOOKUP($B10,'BaseLine Data'!$B9:$AQ21,2,FALSE)</f>
        <v>1</v>
      </c>
      <c r="G10" s="11">
        <f>VLOOKUP($B10,'BaseLine Data'!$B9:$AQ21,6,FALSE)</f>
        <v>2</v>
      </c>
      <c r="H10" s="11">
        <f>VLOOKUP($B10,'BaseLine Data'!$B9:$AQ21,7,FALSE)</f>
        <v>1920</v>
      </c>
      <c r="I10" s="11">
        <f>VLOOKUP($B10,'BaseLine Data'!$B9:$AQ21,13,FALSE)</f>
        <v>2171</v>
      </c>
      <c r="J10" s="11">
        <f>VLOOKUP($B10,'BaseLine Data'!$B9:$AQ21,14,FALSE)</f>
        <v>2424</v>
      </c>
      <c r="K10" s="11">
        <f>VLOOKUP($B10,'BaseLine Data'!$B9:$AQ21,19,FALSE)</f>
        <v>2258</v>
      </c>
      <c r="L10" s="11">
        <f>VLOOKUP($B10,'BaseLine Data'!$B9:$AQ21,20,FALSE)</f>
        <v>235</v>
      </c>
      <c r="M10" s="47" t="e">
        <f>VLOOKUP($B10,'BaseLine Data'!$B9:$AQ21,21,FALSE)</f>
        <v>#DIV/0!</v>
      </c>
      <c r="N10" s="47">
        <f>VLOOKUP($B10,'BaseLine Data'!$B9:$AQ21,22,FALSE)</f>
        <v>0.60554004724071286</v>
      </c>
      <c r="O10" s="47">
        <f>VLOOKUP($B10,'BaseLine Data'!$B9:$AQ21,25,FALSE)</f>
        <v>1.0400736987563335</v>
      </c>
      <c r="P10" s="47">
        <f>VLOOKUP($B10,'BaseLine Data'!$B9:$AQ21,26,FALSE)</f>
        <v>9.6947194719471941E-2</v>
      </c>
      <c r="Q10" s="40">
        <f>VLOOKUP($B10,'BaseLine Data'!$B9:$AQ21,32,FALSE)</f>
        <v>19.55</v>
      </c>
      <c r="R10" s="37">
        <f t="shared" si="0"/>
        <v>8.0651815181518156</v>
      </c>
      <c r="S10" s="48">
        <f>VLOOKUP($B10,'BaseLine Data'!$B9:$AQ21,33,FALSE)</f>
        <v>65.28</v>
      </c>
      <c r="T10" s="82">
        <f>VLOOKUP($B10,'BaseLine Data'!$B9:$AQ21,34,FALSE)</f>
        <v>0</v>
      </c>
      <c r="U10" s="60">
        <v>0</v>
      </c>
      <c r="AA10" t="s">
        <v>44</v>
      </c>
    </row>
    <row r="11" spans="1:30">
      <c r="A11" s="10" t="s">
        <v>24</v>
      </c>
      <c r="B11" s="11" t="s">
        <v>36</v>
      </c>
      <c r="C11" s="11">
        <f>VLOOKUP($B11,'BaseLine Data'!$B9:$AQ21,2,FALSE)</f>
        <v>1</v>
      </c>
      <c r="D11" s="11" t="str">
        <f>VLOOKUP($B11,'BaseLine Data'!$B9:$AQ21,3,FALSE)</f>
        <v>Brookline</v>
      </c>
      <c r="E11" s="11">
        <f>VLOOKUP($B11,'BaseLine Data'!$B9:$AQ21,4,FALSE)</f>
        <v>2284</v>
      </c>
      <c r="F11" s="11">
        <f>VLOOKUP($B11,'BaseLine Data'!$B9:$AQ21,2,FALSE)</f>
        <v>1</v>
      </c>
      <c r="G11" s="11">
        <f>VLOOKUP($B11,'BaseLine Data'!$B9:$AQ21,6,FALSE)</f>
        <v>3</v>
      </c>
      <c r="H11" s="11">
        <f>VLOOKUP($B11,'BaseLine Data'!$B9:$AQ21,7,FALSE)</f>
        <v>1899</v>
      </c>
      <c r="I11" s="11">
        <f>VLOOKUP($B11,'BaseLine Data'!$B9:$AQ21,13,FALSE)</f>
        <v>3078</v>
      </c>
      <c r="J11" s="11">
        <f>VLOOKUP($B11,'BaseLine Data'!$B9:$AQ21,14,FALSE)</f>
        <v>3174</v>
      </c>
      <c r="K11" s="11">
        <f>VLOOKUP($B11,'BaseLine Data'!$B9:$AQ21,19,FALSE)</f>
        <v>1640</v>
      </c>
      <c r="L11" s="11">
        <f>VLOOKUP($B11,'BaseLine Data'!$B9:$AQ21,20,FALSE)</f>
        <v>655</v>
      </c>
      <c r="M11" s="47">
        <f>VLOOKUP($B11,'BaseLine Data'!$B9:$AQ21,21,FALSE)</f>
        <v>3.7575896437163481</v>
      </c>
      <c r="N11" s="47">
        <f>VLOOKUP($B11,'BaseLine Data'!$B9:$AQ21,22,FALSE)</f>
        <v>1.5007446442891512</v>
      </c>
      <c r="O11" s="47">
        <f>VLOOKUP($B11,'BaseLine Data'!$B9:$AQ21,25,FALSE)</f>
        <v>0.53281351526965559</v>
      </c>
      <c r="P11" s="47">
        <f>VLOOKUP($B11,'BaseLine Data'!$B9:$AQ21,26,FALSE)</f>
        <v>0.20636420919974796</v>
      </c>
      <c r="Q11" s="40">
        <f>VLOOKUP($B11,'BaseLine Data'!$B9:$AQ21,32,FALSE)</f>
        <v>28.04</v>
      </c>
      <c r="R11" s="37">
        <f t="shared" si="0"/>
        <v>8.8342785129174537</v>
      </c>
      <c r="S11" s="48">
        <f>VLOOKUP($B11,'BaseLine Data'!$B9:$AQ21,33,FALSE)</f>
        <v>43.43</v>
      </c>
      <c r="T11" s="82">
        <f>VLOOKUP($B11,'BaseLine Data'!$B9:$AQ21,34,FALSE)</f>
        <v>0</v>
      </c>
      <c r="U11" s="60">
        <v>0</v>
      </c>
      <c r="AA11" t="s">
        <v>44</v>
      </c>
    </row>
    <row r="12" spans="1:30">
      <c r="A12" s="10" t="s">
        <v>24</v>
      </c>
      <c r="B12" s="11" t="s">
        <v>27</v>
      </c>
      <c r="C12" s="11">
        <f>VLOOKUP($B12,'BaseLine Data'!$B9:$AQ21,2,FALSE)</f>
        <v>1</v>
      </c>
      <c r="D12" s="11" t="str">
        <f>VLOOKUP($B12,'BaseLine Data'!$B9:$AQ21,3,FALSE)</f>
        <v>Millbury</v>
      </c>
      <c r="E12" s="11">
        <f>VLOOKUP($B12,'BaseLine Data'!$B9:$AQ21,4,FALSE)</f>
        <v>1100</v>
      </c>
      <c r="F12" s="11">
        <f>VLOOKUP($B12,'BaseLine Data'!$B9:$AQ21,2,FALSE)</f>
        <v>1</v>
      </c>
      <c r="G12" s="11">
        <f>VLOOKUP($B12,'BaseLine Data'!$B9:$AQ21,6,FALSE)</f>
        <v>1.5</v>
      </c>
      <c r="H12" s="11">
        <f>VLOOKUP($B12,'BaseLine Data'!$B9:$AQ21,7,FALSE)</f>
        <v>1953</v>
      </c>
      <c r="I12" s="11">
        <f>VLOOKUP($B12,'BaseLine Data'!$B9:$AQ21,13,FALSE)</f>
        <v>1868</v>
      </c>
      <c r="J12" s="11">
        <f>VLOOKUP($B12,'BaseLine Data'!$B9:$AQ21,14,FALSE)</f>
        <v>1868</v>
      </c>
      <c r="K12" s="11">
        <f>VLOOKUP($B12,'BaseLine Data'!$B9:$AQ21,19,FALSE)</f>
        <v>2860</v>
      </c>
      <c r="L12" s="11">
        <f>VLOOKUP($B12,'BaseLine Data'!$B9:$AQ21,20,FALSE)</f>
        <v>402</v>
      </c>
      <c r="M12" s="47">
        <f>VLOOKUP($B12,'BaseLine Data'!$B9:$AQ21,21,FALSE)</f>
        <v>10.4</v>
      </c>
      <c r="N12" s="47">
        <f>VLOOKUP($B12,'BaseLine Data'!$B9:$AQ21,22,FALSE)</f>
        <v>1.4188235294117648</v>
      </c>
      <c r="O12" s="47">
        <f>VLOOKUP($B12,'BaseLine Data'!$B9:$AQ21,25,FALSE)</f>
        <v>1.5310492505353319</v>
      </c>
      <c r="P12" s="47">
        <f>VLOOKUP($B12,'BaseLine Data'!$B9:$AQ21,26,FALSE)</f>
        <v>0.21520342612419699</v>
      </c>
      <c r="Q12" s="40">
        <f>VLOOKUP($B12,'BaseLine Data'!$B9:$AQ21,32,FALSE)</f>
        <v>21.26</v>
      </c>
      <c r="R12" s="37">
        <f t="shared" si="0"/>
        <v>11.381156316916488</v>
      </c>
      <c r="S12" s="48">
        <f>VLOOKUP($B12,'BaseLine Data'!$B9:$AQ21,33,FALSE)</f>
        <v>62.9</v>
      </c>
      <c r="T12" s="82">
        <f>VLOOKUP($B12,'BaseLine Data'!$B9:$AQ21,34,FALSE)</f>
        <v>0</v>
      </c>
      <c r="U12" s="60">
        <v>0</v>
      </c>
      <c r="AA12" t="s">
        <v>44</v>
      </c>
    </row>
    <row r="13" spans="1:30" ht="30">
      <c r="A13" s="10" t="s">
        <v>24</v>
      </c>
      <c r="B13" s="11" t="s">
        <v>30</v>
      </c>
      <c r="C13" s="11">
        <f>VLOOKUP($B13,'BaseLine Data'!$B9:$AQ21,2,FALSE)</f>
        <v>2</v>
      </c>
      <c r="D13" s="11" t="str">
        <f>VLOOKUP($B13,'BaseLine Data'!$B9:$AQ21,3,FALSE)</f>
        <v>Arlington</v>
      </c>
      <c r="E13" s="11">
        <f>VLOOKUP($B13,'BaseLine Data'!$B9:$AQ21,4,FALSE)</f>
        <v>2112</v>
      </c>
      <c r="F13" s="11">
        <f>VLOOKUP($B13,'BaseLine Data'!$B9:$AQ21,2,FALSE)</f>
        <v>2</v>
      </c>
      <c r="G13" s="11">
        <f>VLOOKUP($B13,'BaseLine Data'!$B9:$AQ21,6,FALSE)</f>
        <v>2</v>
      </c>
      <c r="H13" s="11">
        <f>VLOOKUP($B13,'BaseLine Data'!$B9:$AQ21,7,FALSE)</f>
        <v>1910</v>
      </c>
      <c r="I13" s="11">
        <f>VLOOKUP($B13,'BaseLine Data'!$B9:$AQ21,13,FALSE)</f>
        <v>2502</v>
      </c>
      <c r="J13" s="11">
        <f>VLOOKUP($B13,'BaseLine Data'!$B9:$AQ21,14,FALSE)</f>
        <v>3627</v>
      </c>
      <c r="K13" s="11">
        <f>VLOOKUP($B13,'BaseLine Data'!$B9:$AQ21,19,FALSE)</f>
        <v>8730</v>
      </c>
      <c r="L13" s="11">
        <f>VLOOKUP($B13,'BaseLine Data'!$B9:$AQ21,20,FALSE)</f>
        <v>3586</v>
      </c>
      <c r="M13" s="47">
        <f>VLOOKUP($B13,'BaseLine Data'!$B9:$AQ21,21,FALSE)</f>
        <v>25.986009822890313</v>
      </c>
      <c r="N13" s="47">
        <f>VLOOKUP($B13,'BaseLine Data'!$B9:$AQ21,22,FALSE)</f>
        <v>7.2571505666486775</v>
      </c>
      <c r="O13" s="47">
        <f>VLOOKUP($B13,'BaseLine Data'!$B9:$AQ21,25,FALSE)</f>
        <v>3.4892086330935252</v>
      </c>
      <c r="P13" s="47">
        <f>VLOOKUP($B13,'BaseLine Data'!$B9:$AQ21,26,FALSE)</f>
        <v>0.98869589192169838</v>
      </c>
      <c r="Q13" s="40">
        <f>VLOOKUP($B13,'BaseLine Data'!$B9:$AQ21,32,FALSE)</f>
        <v>44.42</v>
      </c>
      <c r="R13" s="37">
        <f t="shared" si="0"/>
        <v>12.24703611800386</v>
      </c>
      <c r="S13" s="48">
        <f>VLOOKUP($B13,'BaseLine Data'!$B9:$AQ21,33,FALSE)</f>
        <v>91.72</v>
      </c>
      <c r="T13" s="82">
        <f>VLOOKUP($B13,'BaseLine Data'!$B9:$AQ21,34,FALSE)</f>
        <v>0</v>
      </c>
      <c r="U13" s="60">
        <v>0</v>
      </c>
      <c r="AA13" t="s">
        <v>44</v>
      </c>
    </row>
    <row r="14" spans="1:30">
      <c r="A14" s="10" t="s">
        <v>24</v>
      </c>
      <c r="B14" s="11" t="s">
        <v>32</v>
      </c>
      <c r="C14" s="11">
        <f>VLOOKUP($B14,'BaseLine Data'!$B9:$AQ21,2,FALSE)</f>
        <v>1</v>
      </c>
      <c r="D14" s="11" t="str">
        <f>VLOOKUP($B14,'BaseLine Data'!$B9:$AQ21,3,FALSE)</f>
        <v>Newton</v>
      </c>
      <c r="E14" s="11">
        <f>VLOOKUP($B14,'BaseLine Data'!$B9:$AQ21,4,FALSE)</f>
        <v>1724</v>
      </c>
      <c r="F14" s="11">
        <f>VLOOKUP($B14,'BaseLine Data'!$B9:$AQ21,2,FALSE)</f>
        <v>1</v>
      </c>
      <c r="G14" s="11">
        <f>VLOOKUP($B14,'BaseLine Data'!$B9:$AQ21,6,FALSE)</f>
        <v>1</v>
      </c>
      <c r="H14" s="11">
        <f>VLOOKUP($B14,'BaseLine Data'!$B9:$AQ21,7,FALSE)</f>
        <v>1930</v>
      </c>
      <c r="I14" s="11">
        <f>VLOOKUP($B14,'BaseLine Data'!$B9:$AQ21,13,FALSE)</f>
        <v>1815</v>
      </c>
      <c r="J14" s="11">
        <f>VLOOKUP($B14,'BaseLine Data'!$B9:$AQ21,14,FALSE)</f>
        <v>2199</v>
      </c>
      <c r="K14" s="11">
        <f>VLOOKUP($B14,'BaseLine Data'!$B9:$AQ21,19,FALSE)</f>
        <v>3199</v>
      </c>
      <c r="L14" s="11">
        <f>VLOOKUP($B14,'BaseLine Data'!$B9:$AQ21,20,FALSE)</f>
        <v>1299</v>
      </c>
      <c r="M14" s="47">
        <f>VLOOKUP($B14,'BaseLine Data'!$B9:$AQ21,21,FALSE)</f>
        <v>10.192767245499441</v>
      </c>
      <c r="N14" s="47">
        <f>VLOOKUP($B14,'BaseLine Data'!$B9:$AQ21,22,FALSE)</f>
        <v>3.558254200146092</v>
      </c>
      <c r="O14" s="47">
        <f>VLOOKUP($B14,'BaseLine Data'!$B9:$AQ21,25,FALSE)</f>
        <v>1.7625344352617081</v>
      </c>
      <c r="P14" s="47">
        <f>VLOOKUP($B14,'BaseLine Data'!$B9:$AQ21,26,FALSE)</f>
        <v>0.59072305593451568</v>
      </c>
      <c r="Q14" s="40">
        <f>VLOOKUP($B14,'BaseLine Data'!$B9:$AQ21,32,FALSE)</f>
        <v>28.33</v>
      </c>
      <c r="R14" s="37">
        <f t="shared" si="0"/>
        <v>12.8831286948613</v>
      </c>
      <c r="S14" s="48">
        <f>VLOOKUP($B14,'BaseLine Data'!$B9:$AQ21,33,FALSE)</f>
        <v>55.42</v>
      </c>
      <c r="T14" s="82">
        <f>VLOOKUP($B14,'BaseLine Data'!$B9:$AQ21,34,FALSE)</f>
        <v>0</v>
      </c>
      <c r="U14" s="60">
        <v>0</v>
      </c>
      <c r="AA14" t="s">
        <v>44</v>
      </c>
    </row>
    <row r="15" spans="1:30">
      <c r="A15" s="10" t="s">
        <v>24</v>
      </c>
      <c r="B15" s="11" t="s">
        <v>37</v>
      </c>
      <c r="C15" s="11">
        <f>VLOOKUP($B15,'BaseLine Data'!$B9:$AQ21,2,FALSE)</f>
        <v>1</v>
      </c>
      <c r="D15" s="11" t="str">
        <f>VLOOKUP($B15,'BaseLine Data'!$B9:$AQ21,3,FALSE)</f>
        <v>Westford</v>
      </c>
      <c r="E15" s="11">
        <f>VLOOKUP($B15,'BaseLine Data'!$B9:$AQ21,4,FALSE)</f>
        <v>2906</v>
      </c>
      <c r="F15" s="11">
        <f>VLOOKUP($B15,'BaseLine Data'!$B9:$AQ21,2,FALSE)</f>
        <v>1</v>
      </c>
      <c r="G15" s="11">
        <f>VLOOKUP($B15,'BaseLine Data'!$B9:$AQ21,6,FALSE)</f>
        <v>2</v>
      </c>
      <c r="H15" s="11">
        <f>VLOOKUP($B15,'BaseLine Data'!$B9:$AQ21,7,FALSE)</f>
        <v>1993</v>
      </c>
      <c r="I15" s="11">
        <f>VLOOKUP($B15,'BaseLine Data'!$B9:$AQ21,13,FALSE)</f>
        <v>2906</v>
      </c>
      <c r="J15" s="11">
        <f>VLOOKUP($B15,'BaseLine Data'!$B9:$AQ21,14,FALSE)</f>
        <v>3955</v>
      </c>
      <c r="K15" s="11">
        <f>VLOOKUP($B15,'BaseLine Data'!$B9:$AQ21,19,FALSE)</f>
        <v>2592</v>
      </c>
      <c r="L15" s="11">
        <f>VLOOKUP($B15,'BaseLine Data'!$B9:$AQ21,20,FALSE)</f>
        <v>930</v>
      </c>
      <c r="M15" s="47">
        <f>VLOOKUP($B15,'BaseLine Data'!$B9:$AQ21,21,FALSE)</f>
        <v>4.8259169614596908</v>
      </c>
      <c r="N15" s="47">
        <f>VLOOKUP($B15,'BaseLine Data'!$B9:$AQ21,22,FALSE)</f>
        <v>1.2546374367622262</v>
      </c>
      <c r="O15" s="47">
        <f>VLOOKUP($B15,'BaseLine Data'!$B9:$AQ21,25,FALSE)</f>
        <v>0.89194769442532695</v>
      </c>
      <c r="P15" s="47">
        <f>VLOOKUP($B15,'BaseLine Data'!$B9:$AQ21,26,FALSE)</f>
        <v>0.23514538558786346</v>
      </c>
      <c r="Q15" s="40">
        <f>VLOOKUP($B15,'BaseLine Data'!$B9:$AQ21,32,FALSE)</f>
        <v>56.66</v>
      </c>
      <c r="R15" s="37">
        <f t="shared" si="0"/>
        <v>14.326169405815424</v>
      </c>
      <c r="S15" s="48">
        <f>VLOOKUP($B15,'BaseLine Data'!$B9:$AQ21,33,FALSE)</f>
        <v>103.25</v>
      </c>
      <c r="T15" s="82">
        <f>VLOOKUP($B15,'BaseLine Data'!$B9:$AQ21,34,FALSE)</f>
        <v>0</v>
      </c>
      <c r="U15" s="60">
        <v>0</v>
      </c>
      <c r="AA15" t="s">
        <v>44</v>
      </c>
    </row>
    <row r="16" spans="1:30" ht="30">
      <c r="A16" s="10" t="s">
        <v>24</v>
      </c>
      <c r="B16" s="11" t="s">
        <v>34</v>
      </c>
      <c r="C16" s="11">
        <f>VLOOKUP($B16,'BaseLine Data'!$B9:$AQ21,2,FALSE)</f>
        <v>1</v>
      </c>
      <c r="D16" s="11" t="str">
        <f>VLOOKUP($B16,'BaseLine Data'!$B9:$AQ21,3,FALSE)</f>
        <v>Northampton</v>
      </c>
      <c r="E16" s="11">
        <f>VLOOKUP($B16,'BaseLine Data'!$B9:$AQ21,4,FALSE)</f>
        <v>2032</v>
      </c>
      <c r="F16" s="11">
        <f>VLOOKUP($B16,'BaseLine Data'!$B9:$AQ21,2,FALSE)</f>
        <v>1</v>
      </c>
      <c r="G16" s="11">
        <f>VLOOKUP($B16,'BaseLine Data'!$B9:$AQ21,6,FALSE)</f>
        <v>1</v>
      </c>
      <c r="H16" s="11">
        <f>VLOOKUP($B16,'BaseLine Data'!$B9:$AQ21,7,FALSE)</f>
        <v>1859</v>
      </c>
      <c r="I16" s="11">
        <f>VLOOKUP($B16,'BaseLine Data'!$B9:$AQ21,13,FALSE)</f>
        <v>2032</v>
      </c>
      <c r="J16" s="11">
        <f>VLOOKUP($B16,'BaseLine Data'!$B9:$AQ21,14,FALSE)</f>
        <v>2747</v>
      </c>
      <c r="K16" s="11">
        <f>VLOOKUP($B16,'BaseLine Data'!$B9:$AQ21,19,FALSE)</f>
        <v>6155</v>
      </c>
      <c r="L16" s="11">
        <f>VLOOKUP($B16,'BaseLine Data'!$B9:$AQ21,20,FALSE)</f>
        <v>473</v>
      </c>
      <c r="M16" s="47">
        <f>VLOOKUP($B16,'BaseLine Data'!$B9:$AQ21,21,FALSE)</f>
        <v>0</v>
      </c>
      <c r="N16" s="47">
        <f>VLOOKUP($B16,'BaseLine Data'!$B9:$AQ21,22,FALSE)</f>
        <v>0.81966266173752311</v>
      </c>
      <c r="O16" s="47">
        <f>VLOOKUP($B16,'BaseLine Data'!$B9:$AQ21,25,FALSE)</f>
        <v>3.0290354330708662</v>
      </c>
      <c r="P16" s="47">
        <f>VLOOKUP($B16,'BaseLine Data'!$B9:$AQ21,26,FALSE)</f>
        <v>0.17218784128139789</v>
      </c>
      <c r="Q16" s="40">
        <f>VLOOKUP($B16,'BaseLine Data'!$B9:$AQ21,32,FALSE)</f>
        <v>12.38</v>
      </c>
      <c r="R16" s="37">
        <f t="shared" si="0"/>
        <v>4.5067346195850018</v>
      </c>
      <c r="S16" s="48">
        <f>VLOOKUP($B16,'BaseLine Data'!$B9:$AQ21,33,FALSE)</f>
        <v>41.35</v>
      </c>
      <c r="T16" s="82">
        <f>VLOOKUP($B16,'BaseLine Data'!$B9:$AQ21,34,FALSE)</f>
        <v>0</v>
      </c>
      <c r="U16" s="60" t="s">
        <v>69</v>
      </c>
      <c r="V16" s="97">
        <f>VLOOKUP($B16,'BaseLine Data'!$B$9:$CC$21,59,FALSE)</f>
        <v>15.81</v>
      </c>
      <c r="W16" s="97">
        <f>VLOOKUP($B16,'BaseLine Data'!$B$9:$CC$21,55,FALSE)</f>
        <v>10.91</v>
      </c>
      <c r="X16" s="81">
        <f t="shared" ref="X16:X21" si="1">V16-W16</f>
        <v>4.9000000000000004</v>
      </c>
      <c r="Y16" s="97">
        <f>VLOOKUP($B16,'BaseLine Data'!$B$9:$CC$21,60,FALSE)</f>
        <v>0</v>
      </c>
      <c r="Z16" s="81">
        <f t="shared" ref="Z16:Z21" si="2">X16+Y16</f>
        <v>4.9000000000000004</v>
      </c>
      <c r="AA16" t="s">
        <v>45</v>
      </c>
      <c r="AB16" s="97">
        <f>VLOOKUP($B16,'BaseLine Data'!$B$9:$CC$21,54,FALSE)</f>
        <v>12.38</v>
      </c>
      <c r="AC16" s="97">
        <f>AB16-W16</f>
        <v>1.4700000000000006</v>
      </c>
      <c r="AD16" s="97">
        <f>VLOOKUP($B16,'BaseLine Data'!$B$9:$CC$21,56,FALSE)</f>
        <v>0</v>
      </c>
    </row>
    <row r="17" spans="1:32" ht="30">
      <c r="A17" s="10" t="s">
        <v>31</v>
      </c>
      <c r="B17" s="11" t="s">
        <v>26</v>
      </c>
      <c r="C17" s="11">
        <f>VLOOKUP($B17,'BaseLine Data'!$B9:$AQ21,2,FALSE)</f>
        <v>2</v>
      </c>
      <c r="D17" s="11" t="str">
        <f>VLOOKUP($B17,'BaseLine Data'!$B9:$AQ21,3,FALSE)</f>
        <v>Belmont</v>
      </c>
      <c r="E17" s="11">
        <f>VLOOKUP($B17,'BaseLine Data'!$B9:$AQ21,4,FALSE)</f>
        <v>2728</v>
      </c>
      <c r="F17" s="11">
        <f>VLOOKUP($B17,'BaseLine Data'!$B9:$AQ21,2,FALSE)</f>
        <v>2</v>
      </c>
      <c r="G17" s="11">
        <f>VLOOKUP($B17,'BaseLine Data'!$B9:$AQ21,6,FALSE)</f>
        <v>3</v>
      </c>
      <c r="H17" s="11">
        <f>VLOOKUP($B17,'BaseLine Data'!$B9:$AQ21,7,FALSE)</f>
        <v>1925</v>
      </c>
      <c r="I17" s="11">
        <f>VLOOKUP($B17,'BaseLine Data'!$B9:$AQ21,13,FALSE)</f>
        <v>3417</v>
      </c>
      <c r="J17" s="11">
        <f>VLOOKUP($B17,'BaseLine Data'!$B9:$AQ21,14,FALSE)</f>
        <v>4768</v>
      </c>
      <c r="K17" s="11">
        <f>VLOOKUP($B17,'BaseLine Data'!$B9:$AQ21,19,FALSE)</f>
        <v>5700</v>
      </c>
      <c r="L17" s="11">
        <f>VLOOKUP($B17,'BaseLine Data'!$B9:$AQ21,20,FALSE)</f>
        <v>590</v>
      </c>
      <c r="M17" s="47">
        <f>VLOOKUP($B17,'BaseLine Data'!$B9:$AQ21,21,FALSE)</f>
        <v>9.2687950566426363</v>
      </c>
      <c r="N17" s="47">
        <f>VLOOKUP($B17,'BaseLine Data'!$B9:$AQ21,22,FALSE)</f>
        <v>0.74204502578292031</v>
      </c>
      <c r="O17" s="47">
        <f>VLOOKUP($B17,'BaseLine Data'!$B9:$AQ21,25,FALSE)</f>
        <v>1.6681299385425812</v>
      </c>
      <c r="P17" s="47">
        <f>VLOOKUP($B17,'BaseLine Data'!$B9:$AQ21,26,FALSE)</f>
        <v>0.12374161073825503</v>
      </c>
      <c r="Q17" s="40">
        <f>VLOOKUP($B17,'BaseLine Data'!$B9:$AQ21,32,FALSE)</f>
        <v>28.94</v>
      </c>
      <c r="R17" s="37">
        <f t="shared" si="0"/>
        <v>6.0696308724832218</v>
      </c>
      <c r="S17" s="48">
        <f>VLOOKUP($B17,'BaseLine Data'!$B9:$AQ21,33,FALSE)</f>
        <v>77.39</v>
      </c>
      <c r="T17" s="82">
        <f>VLOOKUP($B17,'BaseLine Data'!$B9:$AQ21,34,FALSE)</f>
        <v>0</v>
      </c>
      <c r="U17" s="60" t="s">
        <v>68</v>
      </c>
      <c r="V17" s="97">
        <f>VLOOKUP($B17,'BaseLine Data'!$B$9:$CC$21,59,FALSE)</f>
        <v>38.950000000000003</v>
      </c>
      <c r="W17" s="97">
        <f>VLOOKUP($B17,'BaseLine Data'!$B$9:$CC$21,55,FALSE)</f>
        <v>12.67</v>
      </c>
      <c r="X17" s="81">
        <f t="shared" si="1"/>
        <v>26.28</v>
      </c>
      <c r="Y17" s="97">
        <f>VLOOKUP($B17,'BaseLine Data'!$B$9:$CC$21,60,FALSE)</f>
        <v>8.7899999999999991</v>
      </c>
      <c r="Z17" s="81">
        <f t="shared" si="2"/>
        <v>35.07</v>
      </c>
      <c r="AA17" t="s">
        <v>45</v>
      </c>
      <c r="AB17" s="97">
        <f>VLOOKUP($B17,'BaseLine Data'!$B$9:$CC$21,54,FALSE)</f>
        <v>20.54</v>
      </c>
      <c r="AC17" s="97">
        <f t="shared" ref="AC17:AC21" si="3">AB17-W17</f>
        <v>7.8699999999999992</v>
      </c>
      <c r="AD17" s="97">
        <f>VLOOKUP($B17,'BaseLine Data'!$B$9:$CC$21,56,FALSE)</f>
        <v>8.4</v>
      </c>
    </row>
    <row r="18" spans="1:32">
      <c r="A18" s="10" t="s">
        <v>24</v>
      </c>
      <c r="B18" s="11" t="s">
        <v>29</v>
      </c>
      <c r="C18" s="11">
        <f>VLOOKUP($B18,'BaseLine Data'!$B9:$AQ21,2,FALSE)</f>
        <v>1</v>
      </c>
      <c r="D18" s="11" t="str">
        <f>VLOOKUP($B18,'BaseLine Data'!$B9:$AQ21,3,FALSE)</f>
        <v>Quincy</v>
      </c>
      <c r="E18" s="11">
        <f>VLOOKUP($B18,'BaseLine Data'!$B9:$AQ21,4,FALSE)</f>
        <v>1808</v>
      </c>
      <c r="F18" s="11">
        <f>VLOOKUP($B18,'BaseLine Data'!$B9:$AQ21,2,FALSE)</f>
        <v>1</v>
      </c>
      <c r="G18" s="11">
        <f>VLOOKUP($B18,'BaseLine Data'!$B9:$AQ21,6,FALSE)</f>
        <v>1.5</v>
      </c>
      <c r="H18" s="11">
        <f>VLOOKUP($B18,'BaseLine Data'!$B9:$AQ21,7,FALSE)</f>
        <v>1905</v>
      </c>
      <c r="I18" s="11">
        <f>VLOOKUP($B18,'BaseLine Data'!$B9:$AQ21,13,FALSE)</f>
        <v>3484</v>
      </c>
      <c r="J18" s="11">
        <f>VLOOKUP($B18,'BaseLine Data'!$B9:$AQ21,14,FALSE)</f>
        <v>4576</v>
      </c>
      <c r="K18" s="11">
        <f>VLOOKUP($B18,'BaseLine Data'!$B9:$AQ21,19,FALSE)</f>
        <v>5050</v>
      </c>
      <c r="L18" s="11">
        <f>VLOOKUP($B18,'BaseLine Data'!$B9:$AQ21,20,FALSE)</f>
        <v>762</v>
      </c>
      <c r="M18" s="47">
        <f>VLOOKUP($B18,'BaseLine Data'!$B9:$AQ21,21,FALSE)</f>
        <v>18.53</v>
      </c>
      <c r="N18" s="47">
        <f>VLOOKUP($B18,'BaseLine Data'!$B9:$AQ21,22,FALSE)</f>
        <v>1.2579100863919002</v>
      </c>
      <c r="O18" s="47">
        <f>VLOOKUP($B18,'BaseLine Data'!$B9:$AQ21,25,FALSE)</f>
        <v>1.4494833524684272</v>
      </c>
      <c r="P18" s="47">
        <f>VLOOKUP($B18,'BaseLine Data'!$B9:$AQ21,26,FALSE)</f>
        <v>0.16652097902097901</v>
      </c>
      <c r="Q18" s="40">
        <f>VLOOKUP($B18,'BaseLine Data'!$B9:$AQ21,32,FALSE)</f>
        <v>29.67</v>
      </c>
      <c r="R18" s="37">
        <f t="shared" si="0"/>
        <v>6.4838286713286717</v>
      </c>
      <c r="S18" s="48">
        <f>VLOOKUP($B18,'BaseLine Data'!$B9:$AQ21,33,FALSE)</f>
        <v>69.75</v>
      </c>
      <c r="T18" s="82">
        <f>VLOOKUP($B18,'BaseLine Data'!$B9:$AQ21,34,FALSE)</f>
        <v>0</v>
      </c>
      <c r="U18" s="60" t="s">
        <v>70</v>
      </c>
      <c r="V18" s="97">
        <f>VLOOKUP($B18,'BaseLine Data'!$B$9:$CC$21,59,FALSE)</f>
        <v>22.13</v>
      </c>
      <c r="W18" s="97">
        <f>VLOOKUP($B18,'BaseLine Data'!$B$9:$CC$21,55,FALSE)</f>
        <v>14.62</v>
      </c>
      <c r="X18" s="81">
        <f t="shared" si="1"/>
        <v>7.51</v>
      </c>
      <c r="Y18" s="97">
        <f>VLOOKUP($B18,'BaseLine Data'!$B$9:$CC$21,60,FALSE)</f>
        <v>13.4</v>
      </c>
      <c r="Z18" s="81">
        <f t="shared" si="2"/>
        <v>20.91</v>
      </c>
      <c r="AA18" t="s">
        <v>45</v>
      </c>
      <c r="AB18" s="97">
        <f>VLOOKUP($B18,'BaseLine Data'!$B$9:$CC$21,54,FALSE)</f>
        <v>16.87</v>
      </c>
      <c r="AC18" s="97">
        <f t="shared" si="3"/>
        <v>2.2500000000000018</v>
      </c>
      <c r="AD18" s="97">
        <f>VLOOKUP($B18,'BaseLine Data'!$B$9:$CC$21,56,FALSE)</f>
        <v>12.8</v>
      </c>
    </row>
    <row r="19" spans="1:32">
      <c r="A19" s="10" t="s">
        <v>24</v>
      </c>
      <c r="B19" s="11" t="s">
        <v>28</v>
      </c>
      <c r="C19" s="11">
        <f>VLOOKUP($B19,'BaseLine Data'!$B9:$AQ21,2,FALSE)</f>
        <v>1</v>
      </c>
      <c r="D19" s="11" t="str">
        <f>VLOOKUP($B19,'BaseLine Data'!$B9:$AQ21,3,FALSE)</f>
        <v>Milton</v>
      </c>
      <c r="E19" s="11">
        <f>VLOOKUP($B19,'BaseLine Data'!$B9:$AQ21,4,FALSE)</f>
        <v>1600</v>
      </c>
      <c r="F19" s="11">
        <f>VLOOKUP($B19,'BaseLine Data'!$B9:$AQ21,2,FALSE)</f>
        <v>1</v>
      </c>
      <c r="G19" s="11">
        <f>VLOOKUP($B19,'BaseLine Data'!$B9:$AQ21,6,FALSE)</f>
        <v>2</v>
      </c>
      <c r="H19" s="11">
        <f>VLOOKUP($B19,'BaseLine Data'!$B9:$AQ21,7,FALSE)</f>
        <v>1960</v>
      </c>
      <c r="I19" s="11">
        <f>VLOOKUP($B19,'BaseLine Data'!$B9:$AQ21,13,FALSE)</f>
        <v>2368</v>
      </c>
      <c r="J19" s="11">
        <f>VLOOKUP($B19,'BaseLine Data'!$B9:$AQ21,14,FALSE)</f>
        <v>2368</v>
      </c>
      <c r="K19" s="11">
        <f>VLOOKUP($B19,'BaseLine Data'!$B9:$AQ21,19,FALSE)</f>
        <v>1695</v>
      </c>
      <c r="L19" s="11">
        <f>VLOOKUP($B19,'BaseLine Data'!$B9:$AQ21,20,FALSE)</f>
        <v>584</v>
      </c>
      <c r="M19" s="47">
        <f>VLOOKUP($B19,'BaseLine Data'!$B9:$AQ21,21,FALSE)</f>
        <v>4.5285337703049304</v>
      </c>
      <c r="N19" s="47">
        <f>VLOOKUP($B19,'BaseLine Data'!$B9:$AQ21,22,FALSE)</f>
        <v>1.4326835012429675</v>
      </c>
      <c r="O19" s="47">
        <f>VLOOKUP($B19,'BaseLine Data'!$B9:$AQ21,25,FALSE)</f>
        <v>0.71579391891891897</v>
      </c>
      <c r="P19" s="47">
        <f>VLOOKUP($B19,'BaseLine Data'!$B9:$AQ21,26,FALSE)</f>
        <v>0.24662162162162163</v>
      </c>
      <c r="Q19" s="40">
        <f>VLOOKUP($B19,'BaseLine Data'!$B9:$AQ21,32,FALSE)</f>
        <v>26.05</v>
      </c>
      <c r="R19" s="37">
        <f t="shared" si="0"/>
        <v>11.000844594594595</v>
      </c>
      <c r="S19" s="48">
        <f>VLOOKUP($B19,'BaseLine Data'!$B9:$AQ21,33,FALSE)</f>
        <v>50.54</v>
      </c>
      <c r="T19" s="82">
        <f>VLOOKUP($B19,'BaseLine Data'!$B9:$AQ21,34,FALSE)</f>
        <v>0</v>
      </c>
      <c r="U19" s="60" t="s">
        <v>66</v>
      </c>
      <c r="V19" s="97">
        <f>VLOOKUP($B19,'BaseLine Data'!$B$9:$CC$21,59,FALSE)</f>
        <v>17.059999999999999</v>
      </c>
      <c r="W19" s="97">
        <f>VLOOKUP($B19,'BaseLine Data'!$B$9:$CC$21,55,FALSE)</f>
        <v>7.2</v>
      </c>
      <c r="X19" s="81">
        <f t="shared" si="1"/>
        <v>9.86</v>
      </c>
      <c r="Y19" s="97">
        <f>VLOOKUP($B19,'BaseLine Data'!$B$9:$CC$21,60,FALSE)</f>
        <v>16.649999999999999</v>
      </c>
      <c r="Z19" s="81">
        <f t="shared" si="2"/>
        <v>26.509999999999998</v>
      </c>
      <c r="AA19" t="s">
        <v>45</v>
      </c>
      <c r="AB19" s="97">
        <f>VLOOKUP($B19,'BaseLine Data'!$B$9:$CC$21,54,FALSE)</f>
        <v>10.15</v>
      </c>
      <c r="AC19" s="97">
        <f t="shared" si="3"/>
        <v>2.95</v>
      </c>
      <c r="AD19" s="97">
        <f>VLOOKUP($B19,'BaseLine Data'!$B$9:$CC$21,56,FALSE)</f>
        <v>15.9</v>
      </c>
    </row>
    <row r="20" spans="1:32">
      <c r="A20" s="10" t="s">
        <v>24</v>
      </c>
      <c r="B20" s="11" t="s">
        <v>33</v>
      </c>
      <c r="C20" s="11">
        <f>VLOOKUP($B20,'BaseLine Data'!$B9:$AQ21,2,FALSE)</f>
        <v>3</v>
      </c>
      <c r="D20" s="11" t="str">
        <f>VLOOKUP($B20,'BaseLine Data'!$B9:$AQ21,3,FALSE)</f>
        <v>Jamaica Plain</v>
      </c>
      <c r="E20" s="11">
        <f>VLOOKUP($B20,'BaseLine Data'!$B9:$AQ21,4,FALSE)</f>
        <v>3885</v>
      </c>
      <c r="F20" s="11">
        <f>VLOOKUP($B20,'BaseLine Data'!$B9:$AQ21,2,FALSE)</f>
        <v>3</v>
      </c>
      <c r="G20" s="11">
        <f>VLOOKUP($B20,'BaseLine Data'!$B9:$AQ21,6,FALSE)</f>
        <v>3</v>
      </c>
      <c r="H20" s="11">
        <f>VLOOKUP($B20,'BaseLine Data'!$B9:$AQ21,7,FALSE)</f>
        <v>1907</v>
      </c>
      <c r="I20" s="11">
        <f>VLOOKUP($B20,'BaseLine Data'!$B9:$AQ21,13,FALSE)</f>
        <v>3885</v>
      </c>
      <c r="J20" s="11">
        <f>VLOOKUP($B20,'BaseLine Data'!$B9:$AQ21,14,FALSE)</f>
        <v>3885</v>
      </c>
      <c r="K20" s="11">
        <f>VLOOKUP($B20,'BaseLine Data'!$B9:$AQ21,19,FALSE)</f>
        <v>7729</v>
      </c>
      <c r="L20" s="11">
        <f>VLOOKUP($B20,'BaseLine Data'!$B9:$AQ21,20,FALSE)</f>
        <v>1802</v>
      </c>
      <c r="M20" s="47">
        <f>VLOOKUP($B20,'BaseLine Data'!$B9:$AQ21,21,FALSE)</f>
        <v>10.889494199971821</v>
      </c>
      <c r="N20" s="47">
        <f>VLOOKUP($B20,'BaseLine Data'!$B9:$AQ21,22,FALSE)</f>
        <v>2.5388625369839852</v>
      </c>
      <c r="O20" s="47">
        <f>VLOOKUP($B20,'BaseLine Data'!$B9:$AQ21,25,FALSE)</f>
        <v>1.9894465894465894</v>
      </c>
      <c r="P20" s="47">
        <f>VLOOKUP($B20,'BaseLine Data'!$B9:$AQ21,26,FALSE)</f>
        <v>0.46383526383526386</v>
      </c>
      <c r="Q20" s="40">
        <f>VLOOKUP($B20,'BaseLine Data'!$B9:$AQ21,32,FALSE)</f>
        <v>50.35</v>
      </c>
      <c r="R20" s="37">
        <f t="shared" si="0"/>
        <v>12.96010296010296</v>
      </c>
      <c r="S20" s="48">
        <f>VLOOKUP($B20,'BaseLine Data'!$B9:$AQ21,33,FALSE)</f>
        <v>75.52</v>
      </c>
      <c r="T20" s="82">
        <f>VLOOKUP($B20,'BaseLine Data'!$B9:$AQ21,34,FALSE)</f>
        <v>0</v>
      </c>
      <c r="U20" s="60">
        <v>0</v>
      </c>
      <c r="V20" s="97">
        <f>VLOOKUP($B20,'BaseLine Data'!$B$9:$CC$21,59,FALSE)</f>
        <v>21.76</v>
      </c>
      <c r="W20" s="97">
        <f>VLOOKUP($B20,'BaseLine Data'!$B$9:$CC$21,55,FALSE)</f>
        <v>4.9000000000000004</v>
      </c>
      <c r="X20" s="81">
        <f t="shared" si="1"/>
        <v>16.86</v>
      </c>
      <c r="Y20" s="97">
        <f>VLOOKUP($B20,'BaseLine Data'!$B$9:$CC$21,60,FALSE)</f>
        <v>42.3</v>
      </c>
      <c r="Z20" s="81">
        <f t="shared" si="2"/>
        <v>59.16</v>
      </c>
      <c r="AA20" t="s">
        <v>45</v>
      </c>
      <c r="AB20" s="97">
        <f>VLOOKUP($B20,'BaseLine Data'!$B$9:$CC$21,54,FALSE)</f>
        <v>9.9499999999999993</v>
      </c>
      <c r="AC20" s="97">
        <f t="shared" si="3"/>
        <v>5.0499999999999989</v>
      </c>
      <c r="AD20" s="97">
        <f>VLOOKUP($B20,'BaseLine Data'!$B$9:$CC$21,56,FALSE)</f>
        <v>40.4</v>
      </c>
    </row>
    <row r="21" spans="1:32" ht="90">
      <c r="A21" s="10" t="s">
        <v>24</v>
      </c>
      <c r="B21" s="11" t="s">
        <v>35</v>
      </c>
      <c r="C21" s="11">
        <f>VLOOKUP($B21,'BaseLine Data'!$B9:$AQ21,2,FALSE)</f>
        <v>1</v>
      </c>
      <c r="D21" s="11" t="str">
        <f>VLOOKUP($B21,'BaseLine Data'!$B9:$AQ21,3,FALSE)</f>
        <v>Lancaster</v>
      </c>
      <c r="E21" s="11">
        <f>VLOOKUP($B21,'BaseLine Data'!$B9:$AQ21,4,FALSE)</f>
        <v>908</v>
      </c>
      <c r="F21" s="11">
        <f>VLOOKUP($B21,'BaseLine Data'!$B9:$AQ21,2,FALSE)</f>
        <v>1</v>
      </c>
      <c r="G21" s="11">
        <f>VLOOKUP($B21,'BaseLine Data'!$B9:$AQ21,6,FALSE)</f>
        <v>2</v>
      </c>
      <c r="H21" s="11">
        <f>VLOOKUP($B21,'BaseLine Data'!$B9:$AQ21,7,FALSE)</f>
        <v>1900</v>
      </c>
      <c r="I21" s="11">
        <f>VLOOKUP($B21,'BaseLine Data'!$B9:$AQ21,13,FALSE)</f>
        <v>980</v>
      </c>
      <c r="J21" s="11">
        <f>VLOOKUP($B21,'BaseLine Data'!$B9:$AQ21,14,FALSE)</f>
        <v>1440</v>
      </c>
      <c r="K21" s="11">
        <f>VLOOKUP($B21,'BaseLine Data'!$B9:$AQ21,19,FALSE)</f>
        <v>4254</v>
      </c>
      <c r="L21" s="11">
        <f>VLOOKUP($B21,'BaseLine Data'!$B9:$AQ21,20,FALSE)</f>
        <v>293</v>
      </c>
      <c r="M21" s="47">
        <f>VLOOKUP($B21,'BaseLine Data'!$B9:$AQ21,21,FALSE)</f>
        <v>36.050847457627121</v>
      </c>
      <c r="N21" s="47">
        <f>VLOOKUP($B21,'BaseLine Data'!$B9:$AQ21,22,FALSE)</f>
        <v>1.4250972762645915</v>
      </c>
      <c r="O21" s="47">
        <f>VLOOKUP($B21,'BaseLine Data'!$B9:$AQ21,25,FALSE)</f>
        <v>4.3408163265306126</v>
      </c>
      <c r="P21" s="47">
        <f>VLOOKUP($B21,'BaseLine Data'!$B9:$AQ21,26,FALSE)</f>
        <v>0.20347222222222222</v>
      </c>
      <c r="Q21" s="40">
        <f>VLOOKUP($B21,'BaseLine Data'!$B9:$AQ21,32,FALSE)</f>
        <v>22.26</v>
      </c>
      <c r="R21" s="37">
        <f t="shared" si="0"/>
        <v>15.458333333333334</v>
      </c>
      <c r="S21" s="48">
        <f>VLOOKUP($B21,'BaseLine Data'!$B9:$AQ21,33,FALSE)</f>
        <v>50.03</v>
      </c>
      <c r="T21" s="82">
        <f>VLOOKUP($B21,'BaseLine Data'!$B9:$AQ21,34,FALSE)</f>
        <v>0</v>
      </c>
      <c r="U21" s="61" t="s">
        <v>67</v>
      </c>
      <c r="V21" s="97">
        <f>VLOOKUP($B21,'BaseLine Data'!$B$9:$CC$21,59,FALSE)</f>
        <v>22.29</v>
      </c>
      <c r="W21" s="97">
        <f>VLOOKUP($B21,'BaseLine Data'!$B$9:$CC$21,55,FALSE)</f>
        <v>7.11</v>
      </c>
      <c r="X21" s="81">
        <f t="shared" si="1"/>
        <v>15.18</v>
      </c>
      <c r="Y21" s="97">
        <f>VLOOKUP($B21,'BaseLine Data'!$B$9:$CC$21,60,FALSE)</f>
        <v>11.1</v>
      </c>
      <c r="Z21" s="81">
        <f t="shared" si="2"/>
        <v>26.28</v>
      </c>
      <c r="AA21" t="s">
        <v>45</v>
      </c>
      <c r="AB21" s="97">
        <f>VLOOKUP($B21,'BaseLine Data'!$B$9:$CC$21,54,FALSE)</f>
        <v>11.66</v>
      </c>
      <c r="AC21" s="97">
        <f t="shared" si="3"/>
        <v>4.55</v>
      </c>
      <c r="AD21" s="97">
        <f>VLOOKUP($B21,'BaseLine Data'!$B$9:$CC$21,56,FALSE)</f>
        <v>10.6</v>
      </c>
    </row>
    <row r="23" spans="1:32">
      <c r="B23" s="39"/>
      <c r="J23" s="38"/>
      <c r="L23" s="37"/>
      <c r="M23" s="35"/>
      <c r="N23" s="37"/>
      <c r="P23" s="35"/>
    </row>
    <row r="24" spans="1:32">
      <c r="B24" s="39"/>
      <c r="L24" s="37"/>
      <c r="M24" s="37"/>
      <c r="N24" s="37"/>
    </row>
    <row r="25" spans="1:32">
      <c r="B25" s="39"/>
      <c r="L25" s="37"/>
      <c r="M25" s="35"/>
      <c r="N25" s="37"/>
    </row>
    <row r="26" spans="1:32" ht="75">
      <c r="B26" s="39"/>
      <c r="L26" s="37"/>
      <c r="M26" s="37"/>
      <c r="N26" s="37"/>
      <c r="Y26" s="55" t="s">
        <v>203</v>
      </c>
      <c r="Z26" s="55" t="s">
        <v>204</v>
      </c>
      <c r="AA26" s="55" t="s">
        <v>205</v>
      </c>
      <c r="AB26" s="55" t="s">
        <v>206</v>
      </c>
      <c r="AC26" s="55" t="s">
        <v>207</v>
      </c>
      <c r="AD26" s="55" t="s">
        <v>205</v>
      </c>
      <c r="AE26" s="55"/>
      <c r="AF26" s="55"/>
    </row>
    <row r="27" spans="1:32" ht="75">
      <c r="Y27" s="55" t="s">
        <v>208</v>
      </c>
      <c r="Z27" s="55" t="s">
        <v>202</v>
      </c>
      <c r="AA27" s="55" t="s">
        <v>209</v>
      </c>
      <c r="AB27" s="55" t="s">
        <v>210</v>
      </c>
      <c r="AC27" s="55" t="s">
        <v>211</v>
      </c>
      <c r="AD27" s="55" t="s">
        <v>209</v>
      </c>
    </row>
    <row r="29" spans="1:32">
      <c r="X29" t="str">
        <f t="shared" ref="X29" si="4">D16</f>
        <v>Northampton</v>
      </c>
      <c r="Y29" s="81">
        <f t="shared" ref="Y29" si="5">AC16</f>
        <v>1.4700000000000006</v>
      </c>
      <c r="Z29" s="81">
        <f t="shared" ref="Z29" si="6">AD16</f>
        <v>0</v>
      </c>
      <c r="AA29" s="81">
        <f t="shared" ref="AA29" si="7">W16</f>
        <v>10.91</v>
      </c>
    </row>
    <row r="30" spans="1:32">
      <c r="AB30" s="81">
        <f t="shared" ref="AB30" si="8">X16</f>
        <v>4.9000000000000004</v>
      </c>
      <c r="AC30" s="81">
        <f t="shared" ref="AC30" si="9">AD16</f>
        <v>0</v>
      </c>
      <c r="AD30" s="81">
        <f t="shared" ref="AD30" si="10">W16</f>
        <v>10.91</v>
      </c>
    </row>
    <row r="32" spans="1:32">
      <c r="X32" t="str">
        <f>D17</f>
        <v>Belmont</v>
      </c>
      <c r="Y32" s="81">
        <f>AC17</f>
        <v>7.8699999999999992</v>
      </c>
      <c r="Z32" s="81">
        <f>AD17</f>
        <v>8.4</v>
      </c>
      <c r="AA32" s="81">
        <f>W17</f>
        <v>12.67</v>
      </c>
    </row>
    <row r="33" spans="24:30">
      <c r="AB33" s="81">
        <f>X17</f>
        <v>26.28</v>
      </c>
      <c r="AC33" s="81">
        <f>AD17</f>
        <v>8.4</v>
      </c>
      <c r="AD33" s="81">
        <f>W17</f>
        <v>12.67</v>
      </c>
    </row>
    <row r="35" spans="24:30">
      <c r="X35" t="str">
        <f>D18</f>
        <v>Quincy</v>
      </c>
      <c r="Y35" s="81">
        <f>AC18</f>
        <v>2.2500000000000018</v>
      </c>
      <c r="Z35" s="81">
        <f>AD18</f>
        <v>12.8</v>
      </c>
      <c r="AA35" s="81">
        <f>W18</f>
        <v>14.62</v>
      </c>
    </row>
    <row r="36" spans="24:30">
      <c r="AB36" s="81">
        <f>X18</f>
        <v>7.51</v>
      </c>
      <c r="AC36" s="81">
        <f>AD18</f>
        <v>12.8</v>
      </c>
      <c r="AD36" s="81">
        <f>W18</f>
        <v>14.62</v>
      </c>
    </row>
    <row r="38" spans="24:30">
      <c r="X38" t="str">
        <f>D19</f>
        <v>Milton</v>
      </c>
      <c r="Y38" s="81">
        <f>AC19</f>
        <v>2.95</v>
      </c>
      <c r="Z38" s="81">
        <f>AD19</f>
        <v>15.9</v>
      </c>
      <c r="AA38" s="81">
        <f>W19</f>
        <v>7.2</v>
      </c>
    </row>
    <row r="39" spans="24:30">
      <c r="AB39" s="81">
        <f>X19</f>
        <v>9.86</v>
      </c>
      <c r="AC39" s="81">
        <f>AD19</f>
        <v>15.9</v>
      </c>
      <c r="AD39" s="81">
        <f>W19</f>
        <v>7.2</v>
      </c>
    </row>
    <row r="41" spans="24:30">
      <c r="X41" t="str">
        <f>D20</f>
        <v>Jamaica Plain</v>
      </c>
      <c r="Y41" s="81">
        <f>AC20</f>
        <v>5.0499999999999989</v>
      </c>
      <c r="Z41" s="81">
        <f>AD20</f>
        <v>40.4</v>
      </c>
      <c r="AA41" s="81">
        <f>W20</f>
        <v>4.9000000000000004</v>
      </c>
    </row>
    <row r="42" spans="24:30">
      <c r="AB42" s="81">
        <f>X20</f>
        <v>16.86</v>
      </c>
      <c r="AC42" s="81">
        <f>AD20</f>
        <v>40.4</v>
      </c>
      <c r="AD42" s="81">
        <f>W20</f>
        <v>4.9000000000000004</v>
      </c>
    </row>
    <row r="44" spans="24:30">
      <c r="X44" t="str">
        <f>D21</f>
        <v>Lancaster</v>
      </c>
      <c r="Y44" s="81">
        <f>AC21</f>
        <v>4.55</v>
      </c>
      <c r="Z44" s="81">
        <f>AD21</f>
        <v>10.6</v>
      </c>
      <c r="AA44" s="81">
        <f>W21</f>
        <v>7.11</v>
      </c>
    </row>
    <row r="45" spans="24:30">
      <c r="AB45" s="81">
        <f>X21</f>
        <v>15.18</v>
      </c>
      <c r="AC45" s="81">
        <f>AD21</f>
        <v>10.6</v>
      </c>
      <c r="AD45" s="81">
        <f>W21</f>
        <v>7.11</v>
      </c>
    </row>
  </sheetData>
  <sortState ref="A9:AC21">
    <sortCondition ref="AA9:AA21"/>
    <sortCondition ref="R9:R21"/>
  </sortState>
  <dataValidations disablePrompts="1" count="2">
    <dataValidation type="list" allowBlank="1" showInputMessage="1" showErrorMessage="1" sqref="WUU9:WUU21 II9:II21 SE9:SE21 ACA9:ACA21 ALW9:ALW21 AVS9:AVS21 BFO9:BFO21 BPK9:BPK21 BZG9:BZG21 CJC9:CJC21 CSY9:CSY21 DCU9:DCU21 DMQ9:DMQ21 DWM9:DWM21 EGI9:EGI21 EQE9:EQE21 FAA9:FAA21 FJW9:FJW21 FTS9:FTS21 GDO9:GDO21 GNK9:GNK21 GXG9:GXG21 HHC9:HHC21 HQY9:HQY21 IAU9:IAU21 IKQ9:IKQ21 IUM9:IUM21 JEI9:JEI21 JOE9:JOE21 JYA9:JYA21 KHW9:KHW21 KRS9:KRS21 LBO9:LBO21 LLK9:LLK21 LVG9:LVG21 MFC9:MFC21 MOY9:MOY21 MYU9:MYU21 NIQ9:NIQ21 NSM9:NSM21 OCI9:OCI21 OME9:OME21 OWA9:OWA21 PFW9:PFW21 PPS9:PPS21 PZO9:PZO21 QJK9:QJK21 QTG9:QTG21 RDC9:RDC21 RMY9:RMY21 RWU9:RWU21 SGQ9:SGQ21 SQM9:SQM21 TAI9:TAI21 TKE9:TKE21 TUA9:TUA21 UDW9:UDW21 UNS9:UNS21 UXO9:UXO21 VHK9:VHK21 VRG9:VRG21 WBC9:WBC21 WKY9:WKY21">
      <formula1>'[1]Project Statistics'!$K$74:$K$79</formula1>
    </dataValidation>
    <dataValidation type="list" allowBlank="1" showInputMessage="1" showErrorMessage="1" sqref="WUV9:WUW21 IJ9:IK21 SF9:SG21 ACB9:ACC21 ALX9:ALY21 AVT9:AVU21 BFP9:BFQ21 BPL9:BPM21 BZH9:BZI21 CJD9:CJE21 CSZ9:CTA21 DCV9:DCW21 DMR9:DMS21 DWN9:DWO21 EGJ9:EGK21 EQF9:EQG21 FAB9:FAC21 FJX9:FJY21 FTT9:FTU21 GDP9:GDQ21 GNL9:GNM21 GXH9:GXI21 HHD9:HHE21 HQZ9:HRA21 IAV9:IAW21 IKR9:IKS21 IUN9:IUO21 JEJ9:JEK21 JOF9:JOG21 JYB9:JYC21 KHX9:KHY21 KRT9:KRU21 LBP9:LBQ21 LLL9:LLM21 LVH9:LVI21 MFD9:MFE21 MOZ9:MPA21 MYV9:MYW21 NIR9:NIS21 NSN9:NSO21 OCJ9:OCK21 OMF9:OMG21 OWB9:OWC21 PFX9:PFY21 PPT9:PPU21 PZP9:PZQ21 QJL9:QJM21 QTH9:QTI21 RDD9:RDE21 RMZ9:RNA21 RWV9:RWW21 SGR9:SGS21 SQN9:SQO21 TAJ9:TAK21 TKF9:TKG21 TUB9:TUC21 UDX9:UDY21 UNT9:UNU21 UXP9:UXQ21 VHL9:VHM21 VRH9:VRI21 WBD9:WBE21 WKZ9:WLA21">
      <formula1>'[1]Project Statistics'!$M$74:$M$75</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dimension ref="A7:AG26"/>
  <sheetViews>
    <sheetView topLeftCell="B6" zoomScale="130" zoomScaleNormal="130" workbookViewId="0">
      <pane xSplit="1" topLeftCell="S1" activePane="topRight" state="frozen"/>
      <selection activeCell="B9" sqref="B9:X21"/>
      <selection pane="topRight" activeCell="S38" sqref="S38"/>
    </sheetView>
  </sheetViews>
  <sheetFormatPr defaultRowHeight="15"/>
  <cols>
    <col min="2" max="2" width="11.7109375" customWidth="1"/>
    <col min="3" max="3" width="8.7109375" customWidth="1"/>
    <col min="4" max="4" width="12.7109375" customWidth="1"/>
    <col min="6" max="6" width="11.5703125" customWidth="1"/>
    <col min="13" max="16" width="11.5703125" bestFit="1" customWidth="1"/>
    <col min="17" max="18" width="11.5703125" customWidth="1"/>
    <col min="26" max="26" width="11.5703125" bestFit="1" customWidth="1"/>
    <col min="27" max="30" width="11.5703125" customWidth="1"/>
  </cols>
  <sheetData>
    <row r="7" spans="1:33" ht="105.75" thickBot="1">
      <c r="B7" s="1" t="s">
        <v>0</v>
      </c>
      <c r="C7" s="11" t="str">
        <f>VLOOKUP($B7,'BaseLine Data'!$B7:$AQ21,2,FALSE)</f>
        <v>Number of Housing Units</v>
      </c>
      <c r="D7" s="11" t="str">
        <f>VLOOKUP($B7,'BaseLine Data'!$B7:$AQ21,3,FALSE)</f>
        <v>Location</v>
      </c>
      <c r="E7" s="11" t="str">
        <f>VLOOKUP($B7,'BaseLine Data'!$B7:$AQ21,4,FALSE)</f>
        <v>Pre-DER Cond. Floor Area
(sq.ft.)</v>
      </c>
      <c r="F7" s="11" t="str">
        <f>VLOOKUP($B7,'BaseLine Data'!$B7:$AQ21,2,FALSE)</f>
        <v>Number of Housing Units</v>
      </c>
      <c r="G7" s="11" t="str">
        <f>VLOOKUP($B7,'BaseLine Data'!$B7:$AQ21,6,FALSE)</f>
        <v>Stories</v>
      </c>
      <c r="H7" s="11" t="str">
        <f>VLOOKUP($B7,'BaseLine Data'!$B7:$AQ21,7,FALSE)</f>
        <v>Approx. Year Built</v>
      </c>
      <c r="I7" s="11" t="str">
        <f>VLOOKUP($B7,'BaseLine Data'!$B7:$AQ21,13,FALSE)</f>
        <v>Pre-DER Cond. Floor Area
(sq.ft.)</v>
      </c>
      <c r="J7" s="11" t="str">
        <f>VLOOKUP($B7,'BaseLine Data'!$B7:$AQ21,14,FALSE)</f>
        <v>Post-DER Con. Floor Area        (sq.ft.)</v>
      </c>
      <c r="K7" s="11" t="str">
        <f>VLOOKUP($B7,'BaseLine Data'!$B7:$AQ21,19,FALSE)</f>
        <v>Pre-DER   CFM 50</v>
      </c>
      <c r="L7" s="11" t="str">
        <f>VLOOKUP($B7,'BaseLine Data'!$B7:$AQ21,20,FALSE)</f>
        <v>Post-DER CFM 50</v>
      </c>
      <c r="M7" s="11" t="str">
        <f>VLOOKUP($B7,'BaseLine Data'!$B7:$AQ21,21,FALSE)</f>
        <v xml:space="preserve">Pre-DER   ACH 50 </v>
      </c>
      <c r="N7" s="11" t="str">
        <f>VLOOKUP($B7,'BaseLine Data'!$B7:$AQ21,22,FALSE)</f>
        <v xml:space="preserve">Post-DER ACH 50 </v>
      </c>
      <c r="O7" s="11" t="str">
        <f>VLOOKUP($B7,'BaseLine Data'!$B7:$AQ21,25,FALSE)</f>
        <v>Pre-DER CFM/sf Conditioned floor area</v>
      </c>
      <c r="P7" s="11" t="str">
        <f>VLOOKUP($B7,'BaseLine Data'!$B7:$AQ21,26,FALSE)</f>
        <v>Post-DER CFM/sf Conditioned floor area</v>
      </c>
      <c r="Q7" s="11" t="str">
        <f>VLOOKUP($B7,'BaseLine Data'!$B7:$AQ21,35,FALSE)</f>
        <v>Min monthly site MMBtu</v>
      </c>
      <c r="R7" s="11" t="str">
        <f>VLOOKUP($B7,'BaseLine Data'!$B7:$AQ21,36,FALSE)</f>
        <v>Min monthly source MMBtu</v>
      </c>
      <c r="S7" s="11" t="str">
        <f>VLOOKUP($B7,'BaseLine Data'!$B7:$AQ21,29,FALSE)</f>
        <v>12 months site MMBtu</v>
      </c>
      <c r="T7" s="11" t="str">
        <f>VLOOKUP($B7,'BaseLine Data'!$B7:$AQ21,30,FALSE)</f>
        <v>12 months source MMBtu</v>
      </c>
      <c r="U7" s="11" t="s">
        <v>56</v>
      </c>
      <c r="V7" s="11" t="s">
        <v>57</v>
      </c>
      <c r="W7" s="58" t="s">
        <v>61</v>
      </c>
      <c r="X7" s="58" t="s">
        <v>62</v>
      </c>
      <c r="Y7" s="11" t="str">
        <f>VLOOKUP($B7,'BaseLine Data'!$B7:$AQ21,32,FALSE)</f>
        <v>6 months site MMBtu</v>
      </c>
      <c r="Z7" s="11" t="str">
        <f>VLOOKUP($B7,'BaseLine Data'!$B7:$AQ21,33,FALSE)</f>
        <v>6 months source MMBtu</v>
      </c>
      <c r="AA7" s="11" t="s">
        <v>55</v>
      </c>
      <c r="AB7" s="11" t="s">
        <v>58</v>
      </c>
      <c r="AC7" s="58" t="s">
        <v>60</v>
      </c>
      <c r="AD7" s="58" t="s">
        <v>59</v>
      </c>
      <c r="AE7" s="56" t="s">
        <v>48</v>
      </c>
      <c r="AF7" s="56" t="s">
        <v>46</v>
      </c>
      <c r="AG7" s="56" t="s">
        <v>47</v>
      </c>
    </row>
    <row r="8" spans="1:33" ht="71.25">
      <c r="A8" s="9"/>
      <c r="B8" s="49" t="s">
        <v>23</v>
      </c>
      <c r="C8" s="50"/>
      <c r="D8" s="50"/>
      <c r="E8" s="50"/>
      <c r="F8" s="50"/>
      <c r="G8" s="50"/>
      <c r="H8" s="50"/>
      <c r="I8" s="51"/>
      <c r="J8" s="52"/>
      <c r="K8" s="53"/>
      <c r="L8" s="53"/>
      <c r="M8" s="54"/>
      <c r="N8" s="41"/>
      <c r="O8" s="53"/>
      <c r="P8" s="41"/>
      <c r="Q8" s="57"/>
      <c r="R8" s="57"/>
    </row>
    <row r="9" spans="1:33">
      <c r="A9" s="10" t="s">
        <v>24</v>
      </c>
      <c r="B9" s="11" t="s">
        <v>29</v>
      </c>
      <c r="C9" s="11">
        <f>VLOOKUP($B9,'BaseLine Data'!$B9:$AQ21,2,FALSE)</f>
        <v>1</v>
      </c>
      <c r="D9" s="11" t="str">
        <f>VLOOKUP($B9,'BaseLine Data'!$B9:$AY21,3,FALSE)</f>
        <v>Quincy</v>
      </c>
      <c r="E9" s="11">
        <f>VLOOKUP($B9,'BaseLine Data'!$B9:$AY21,4,FALSE)</f>
        <v>1808</v>
      </c>
      <c r="F9" s="11">
        <f>VLOOKUP($B9,'BaseLine Data'!$B9:$AQ21,2,FALSE)</f>
        <v>1</v>
      </c>
      <c r="G9" s="11">
        <f>VLOOKUP($B9,'BaseLine Data'!$B9:$AQ21,6,FALSE)</f>
        <v>1.5</v>
      </c>
      <c r="H9" s="11">
        <f>VLOOKUP($B9,'BaseLine Data'!$B9:$AQ21,7,FALSE)</f>
        <v>1905</v>
      </c>
      <c r="I9" s="11">
        <f>VLOOKUP($B9,'BaseLine Data'!$B9:$AQ21,13,FALSE)</f>
        <v>3484</v>
      </c>
      <c r="J9" s="11">
        <f>VLOOKUP($B9,'BaseLine Data'!$B9:$AQ21,14,FALSE)</f>
        <v>4576</v>
      </c>
      <c r="K9" s="11">
        <f>VLOOKUP($B9,'BaseLine Data'!$B9:$AQ21,19,FALSE)</f>
        <v>5050</v>
      </c>
      <c r="L9" s="11">
        <f>VLOOKUP($B9,'BaseLine Data'!$B9:$AQ21,20,FALSE)</f>
        <v>762</v>
      </c>
      <c r="M9" s="47">
        <f>VLOOKUP($B9,'BaseLine Data'!$B9:$AQ21,21,FALSE)</f>
        <v>18.53</v>
      </c>
      <c r="N9" s="47">
        <f>VLOOKUP($B9,'BaseLine Data'!$B9:$AQ21,22,FALSE)</f>
        <v>1.2579100863919002</v>
      </c>
      <c r="O9" s="47">
        <f>VLOOKUP($B9,'BaseLine Data'!$B9:$AQ21,25,FALSE)</f>
        <v>1.4494833524684272</v>
      </c>
      <c r="P9" s="47">
        <f>VLOOKUP($B9,'BaseLine Data'!$B9:$AQ21,26,FALSE)</f>
        <v>0.16652097902097901</v>
      </c>
      <c r="Q9" s="47">
        <f>VLOOKUP($B9,'BaseLine Data'!$B9:$AQ21,35,FALSE)</f>
        <v>2.92</v>
      </c>
      <c r="R9" s="47">
        <f>VLOOKUP($B9,'BaseLine Data'!$B9:$AQ21,36,FALSE)</f>
        <v>8.16</v>
      </c>
      <c r="S9" s="40">
        <f>VLOOKUP($B9,'BaseLine Data'!$B9:$AQ21,29,FALSE)</f>
        <v>59.97</v>
      </c>
      <c r="T9" s="40">
        <f>VLOOKUP($B9,'BaseLine Data'!$B9:$AQ21,30,FALSE)</f>
        <v>140.22</v>
      </c>
      <c r="U9" s="48">
        <f t="shared" ref="U9:U21" si="0">S9 - 12*MIN(Q9,S9)</f>
        <v>24.93</v>
      </c>
      <c r="V9" s="48">
        <f t="shared" ref="V9:V21" si="1">T9 - 12*MIN(R9,T9)</f>
        <v>42.3</v>
      </c>
      <c r="W9" s="59">
        <f t="shared" ref="W9:W21" si="2">1000*U9/J9</f>
        <v>5.4479895104895109</v>
      </c>
      <c r="X9" s="59">
        <f t="shared" ref="X9:X21" si="3">1000*V9/J9</f>
        <v>9.2438811188811183</v>
      </c>
      <c r="Y9" s="40">
        <f>VLOOKUP($B9,'BaseLine Data'!$B9:$AQ21,32,FALSE)</f>
        <v>29.67</v>
      </c>
      <c r="Z9" s="48">
        <f>VLOOKUP($B9,'BaseLine Data'!$B9:$AQ21,33,FALSE)</f>
        <v>69.75</v>
      </c>
      <c r="AA9" s="59">
        <f t="shared" ref="AA9:AA21" si="4">Y9-6*Q9</f>
        <v>12.150000000000002</v>
      </c>
      <c r="AB9" s="59">
        <f t="shared" ref="AB9:AB21" si="5">Z9-6*R9</f>
        <v>20.79</v>
      </c>
      <c r="AC9" s="83">
        <f t="shared" ref="AC9:AC21" si="6">1000*AA9/J9</f>
        <v>2.6551573426573429</v>
      </c>
      <c r="AD9" s="83">
        <f t="shared" ref="AD9:AD21" si="7">1000*AB9/J9</f>
        <v>4.5432692307692308</v>
      </c>
      <c r="AE9" t="s">
        <v>44</v>
      </c>
      <c r="AF9" t="s">
        <v>45</v>
      </c>
      <c r="AG9" t="s">
        <v>44</v>
      </c>
    </row>
    <row r="10" spans="1:33">
      <c r="A10" s="10" t="s">
        <v>24</v>
      </c>
      <c r="B10" s="17" t="s">
        <v>25</v>
      </c>
      <c r="C10" s="11">
        <f>VLOOKUP($B10,'BaseLine Data'!$B9:$AQ21,2,FALSE)</f>
        <v>1</v>
      </c>
      <c r="D10" s="11" t="str">
        <f>VLOOKUP($B10,'BaseLine Data'!$B9:$AQ21,3,FALSE)</f>
        <v>Belchertown</v>
      </c>
      <c r="E10" s="11">
        <f>VLOOKUP($B10,'BaseLine Data'!$B9:$AQ21,4,FALSE)</f>
        <v>1352</v>
      </c>
      <c r="F10" s="11">
        <f>VLOOKUP($B10,'BaseLine Data'!$B9:$AQ21,2,FALSE)</f>
        <v>1</v>
      </c>
      <c r="G10" s="11">
        <f>VLOOKUP($B10,'BaseLine Data'!$B9:$AQ21,6,FALSE)</f>
        <v>1.5</v>
      </c>
      <c r="H10" s="11">
        <f>VLOOKUP($B10,'BaseLine Data'!$B9:$AQ21,7,FALSE)</f>
        <v>1760</v>
      </c>
      <c r="I10" s="11">
        <f>VLOOKUP($B10,'BaseLine Data'!$B9:$AQ21,13,FALSE)</f>
        <v>1435</v>
      </c>
      <c r="J10" s="11">
        <f>VLOOKUP($B10,'BaseLine Data'!$B9:$AQ21,14,FALSE)</f>
        <v>1907</v>
      </c>
      <c r="K10" s="11">
        <f>VLOOKUP($B10,'BaseLine Data'!$B9:$AQ21,19,FALSE)</f>
        <v>9079</v>
      </c>
      <c r="L10" s="11">
        <f>VLOOKUP($B10,'BaseLine Data'!$B9:$AQ21,20,FALSE)</f>
        <v>468</v>
      </c>
      <c r="M10" s="47">
        <f>VLOOKUP($B10,'BaseLine Data'!$B9:$AQ21,21,FALSE)</f>
        <v>57.656646909398809</v>
      </c>
      <c r="N10" s="47">
        <f>VLOOKUP($B10,'BaseLine Data'!$B9:$AQ21,22,FALSE)</f>
        <v>1.8755009350788139</v>
      </c>
      <c r="O10" s="47">
        <f>VLOOKUP($B10,'BaseLine Data'!$B9:$AQ21,25,FALSE)</f>
        <v>6.3268292682926832</v>
      </c>
      <c r="P10" s="47">
        <f>VLOOKUP($B10,'BaseLine Data'!$B9:$AQ21,26,FALSE)</f>
        <v>0.2454116413214473</v>
      </c>
      <c r="Q10" s="47">
        <f>VLOOKUP($B10,'BaseLine Data'!$B9:$AQ21,35,FALSE)</f>
        <v>1.04</v>
      </c>
      <c r="R10" s="47">
        <f>VLOOKUP($B10,'BaseLine Data'!$B9:$AQ21,36,FALSE)</f>
        <v>2</v>
      </c>
      <c r="S10" s="40">
        <f>VLOOKUP($B10,'BaseLine Data'!$B9:$AQ21,29,FALSE)</f>
        <v>37.130000000000003</v>
      </c>
      <c r="T10" s="40">
        <f>VLOOKUP($B10,'BaseLine Data'!$B9:$AQ21,30,FALSE)</f>
        <v>52.4</v>
      </c>
      <c r="U10" s="48">
        <f t="shared" si="0"/>
        <v>24.650000000000002</v>
      </c>
      <c r="V10" s="48">
        <f t="shared" si="1"/>
        <v>28.4</v>
      </c>
      <c r="W10" s="59">
        <f t="shared" si="2"/>
        <v>12.926061877294181</v>
      </c>
      <c r="X10" s="59">
        <f t="shared" si="3"/>
        <v>14.892501310959622</v>
      </c>
      <c r="Y10" s="40">
        <f>VLOOKUP($B10,'BaseLine Data'!$B9:$AQ21,32,FALSE)</f>
        <v>15.1</v>
      </c>
      <c r="Z10" s="48">
        <f>VLOOKUP($B10,'BaseLine Data'!$B9:$AQ21,33,FALSE)</f>
        <v>22.29</v>
      </c>
      <c r="AA10" s="59">
        <f t="shared" si="4"/>
        <v>8.86</v>
      </c>
      <c r="AB10" s="59">
        <f t="shared" si="5"/>
        <v>10.29</v>
      </c>
      <c r="AC10" s="83">
        <f t="shared" si="6"/>
        <v>4.6460409019402205</v>
      </c>
      <c r="AD10" s="83">
        <f t="shared" si="7"/>
        <v>5.3959098059779755</v>
      </c>
      <c r="AE10" t="s">
        <v>44</v>
      </c>
      <c r="AF10" t="s">
        <v>44</v>
      </c>
      <c r="AG10" t="s">
        <v>44</v>
      </c>
    </row>
    <row r="11" spans="1:33">
      <c r="A11" s="10" t="s">
        <v>24</v>
      </c>
      <c r="B11" s="11" t="s">
        <v>36</v>
      </c>
      <c r="C11" s="11">
        <f>VLOOKUP($B11,'BaseLine Data'!$B9:$AQ21,2,FALSE)</f>
        <v>1</v>
      </c>
      <c r="D11" s="11" t="str">
        <f>VLOOKUP($B11,'BaseLine Data'!$B9:$AQ21,3,FALSE)</f>
        <v>Brookline</v>
      </c>
      <c r="E11" s="11">
        <f>VLOOKUP($B11,'BaseLine Data'!$B9:$AQ21,4,FALSE)</f>
        <v>2284</v>
      </c>
      <c r="F11" s="11">
        <f>VLOOKUP($B11,'BaseLine Data'!$B9:$AQ21,2,FALSE)</f>
        <v>1</v>
      </c>
      <c r="G11" s="11">
        <f>VLOOKUP($B11,'BaseLine Data'!$B9:$AQ21,6,FALSE)</f>
        <v>3</v>
      </c>
      <c r="H11" s="11">
        <f>VLOOKUP($B11,'BaseLine Data'!$B9:$AQ21,7,FALSE)</f>
        <v>1899</v>
      </c>
      <c r="I11" s="11">
        <f>VLOOKUP($B11,'BaseLine Data'!$B9:$AQ21,13,FALSE)</f>
        <v>3078</v>
      </c>
      <c r="J11" s="11">
        <f>VLOOKUP($B11,'BaseLine Data'!$B9:$AQ21,14,FALSE)</f>
        <v>3174</v>
      </c>
      <c r="K11" s="11">
        <f>VLOOKUP($B11,'BaseLine Data'!$B9:$AQ21,19,FALSE)</f>
        <v>1640</v>
      </c>
      <c r="L11" s="11">
        <f>VLOOKUP($B11,'BaseLine Data'!$B9:$AQ21,20,FALSE)</f>
        <v>655</v>
      </c>
      <c r="M11" s="47">
        <f>VLOOKUP($B11,'BaseLine Data'!$B9:$AQ21,21,FALSE)</f>
        <v>3.7575896437163481</v>
      </c>
      <c r="N11" s="47">
        <f>VLOOKUP($B11,'BaseLine Data'!$B9:$AQ21,22,FALSE)</f>
        <v>1.5007446442891512</v>
      </c>
      <c r="O11" s="47">
        <f>VLOOKUP($B11,'BaseLine Data'!$B9:$AQ21,25,FALSE)</f>
        <v>0.53281351526965559</v>
      </c>
      <c r="P11" s="47">
        <f>VLOOKUP($B11,'BaseLine Data'!$B9:$AQ21,26,FALSE)</f>
        <v>0.20636420919974796</v>
      </c>
      <c r="Q11" s="47">
        <f>VLOOKUP($B11,'BaseLine Data'!$B9:$AQ21,35,FALSE)</f>
        <v>2.27</v>
      </c>
      <c r="R11" s="47">
        <f>VLOOKUP($B11,'BaseLine Data'!$B9:$AQ21,36,FALSE)</f>
        <v>4.37</v>
      </c>
      <c r="S11" s="40">
        <f>VLOOKUP($B11,'BaseLine Data'!$B9:$AQ21,29,FALSE)</f>
        <v>0</v>
      </c>
      <c r="T11" s="40">
        <f>VLOOKUP($B11,'BaseLine Data'!$B9:$AQ21,30,FALSE)</f>
        <v>0</v>
      </c>
      <c r="U11" s="48">
        <f t="shared" si="0"/>
        <v>0</v>
      </c>
      <c r="V11" s="48">
        <f t="shared" si="1"/>
        <v>0</v>
      </c>
      <c r="W11" s="59">
        <f t="shared" si="2"/>
        <v>0</v>
      </c>
      <c r="X11" s="59">
        <f t="shared" si="3"/>
        <v>0</v>
      </c>
      <c r="Y11" s="40">
        <f>VLOOKUP($B11,'BaseLine Data'!$B9:$AQ21,32,FALSE)</f>
        <v>28.04</v>
      </c>
      <c r="Z11" s="48">
        <f>VLOOKUP($B11,'BaseLine Data'!$B9:$AQ21,33,FALSE)</f>
        <v>43.43</v>
      </c>
      <c r="AA11" s="59">
        <f t="shared" si="4"/>
        <v>14.419999999999998</v>
      </c>
      <c r="AB11" s="59">
        <f t="shared" si="5"/>
        <v>17.21</v>
      </c>
      <c r="AC11" s="83">
        <f t="shared" si="6"/>
        <v>4.5431632010081913</v>
      </c>
      <c r="AD11" s="83">
        <f t="shared" si="7"/>
        <v>5.4221802142407061</v>
      </c>
      <c r="AE11" t="s">
        <v>44</v>
      </c>
      <c r="AF11" t="s">
        <v>44</v>
      </c>
      <c r="AG11" t="s">
        <v>44</v>
      </c>
    </row>
    <row r="12" spans="1:33" ht="30">
      <c r="A12" s="10" t="s">
        <v>24</v>
      </c>
      <c r="B12" s="11" t="s">
        <v>26</v>
      </c>
      <c r="C12" s="11">
        <f>VLOOKUP($B12,'BaseLine Data'!$B9:$AQ21,2,FALSE)</f>
        <v>2</v>
      </c>
      <c r="D12" s="11" t="str">
        <f>VLOOKUP($B12,'BaseLine Data'!$B9:$AQ21,3,FALSE)</f>
        <v>Belmont</v>
      </c>
      <c r="E12" s="11">
        <f>VLOOKUP($B12,'BaseLine Data'!$B9:$AQ21,4,FALSE)</f>
        <v>2728</v>
      </c>
      <c r="F12" s="11">
        <f>VLOOKUP($B12,'BaseLine Data'!$B9:$AQ21,2,FALSE)</f>
        <v>2</v>
      </c>
      <c r="G12" s="11">
        <f>VLOOKUP($B12,'BaseLine Data'!$B9:$AQ21,6,FALSE)</f>
        <v>3</v>
      </c>
      <c r="H12" s="11">
        <f>VLOOKUP($B12,'BaseLine Data'!$B9:$AQ21,7,FALSE)</f>
        <v>1925</v>
      </c>
      <c r="I12" s="11">
        <f>VLOOKUP($B12,'BaseLine Data'!$B9:$AQ21,13,FALSE)</f>
        <v>3417</v>
      </c>
      <c r="J12" s="11">
        <f>VLOOKUP($B12,'BaseLine Data'!$B9:$AQ21,14,FALSE)</f>
        <v>4768</v>
      </c>
      <c r="K12" s="11">
        <f>VLOOKUP($B12,'BaseLine Data'!$B9:$AQ21,19,FALSE)</f>
        <v>5700</v>
      </c>
      <c r="L12" s="11">
        <f>VLOOKUP($B12,'BaseLine Data'!$B9:$AQ21,20,FALSE)</f>
        <v>590</v>
      </c>
      <c r="M12" s="47">
        <f>VLOOKUP($B12,'BaseLine Data'!$B9:$AQ21,21,FALSE)</f>
        <v>9.2687950566426363</v>
      </c>
      <c r="N12" s="47">
        <f>VLOOKUP($B12,'BaseLine Data'!$B9:$AQ21,22,FALSE)</f>
        <v>0.74204502578292031</v>
      </c>
      <c r="O12" s="47">
        <f>VLOOKUP($B12,'BaseLine Data'!$B9:$AQ21,25,FALSE)</f>
        <v>1.6681299385425812</v>
      </c>
      <c r="P12" s="47">
        <f>VLOOKUP($B12,'BaseLine Data'!$B9:$AQ21,26,FALSE)</f>
        <v>0.12374161073825503</v>
      </c>
      <c r="Q12" s="47">
        <f>VLOOKUP($B12,'BaseLine Data'!$B9:$AQ21,35,FALSE)</f>
        <v>2.46</v>
      </c>
      <c r="R12" s="47">
        <f>VLOOKUP($B12,'BaseLine Data'!$B9:$AQ21,36,FALSE)</f>
        <v>8.11</v>
      </c>
      <c r="S12" s="40">
        <f>VLOOKUP($B12,'BaseLine Data'!$B9:$AQ21,29,FALSE)</f>
        <v>59.36</v>
      </c>
      <c r="T12" s="40">
        <f>VLOOKUP($B12,'BaseLine Data'!$B9:$AQ21,30,FALSE)</f>
        <v>151.47999999999999</v>
      </c>
      <c r="U12" s="48">
        <f t="shared" si="0"/>
        <v>29.84</v>
      </c>
      <c r="V12" s="48">
        <f t="shared" si="1"/>
        <v>54.16</v>
      </c>
      <c r="W12" s="59">
        <f t="shared" si="2"/>
        <v>6.2583892617449663</v>
      </c>
      <c r="X12" s="59">
        <f t="shared" si="3"/>
        <v>11.359060402684564</v>
      </c>
      <c r="Y12" s="40">
        <f>VLOOKUP($B12,'BaseLine Data'!$B9:$AQ21,32,FALSE)</f>
        <v>28.94</v>
      </c>
      <c r="Z12" s="48">
        <f>VLOOKUP($B12,'BaseLine Data'!$B9:$AQ21,33,FALSE)</f>
        <v>77.39</v>
      </c>
      <c r="AA12" s="59">
        <f t="shared" si="4"/>
        <v>14.180000000000001</v>
      </c>
      <c r="AB12" s="59">
        <f t="shared" si="5"/>
        <v>28.730000000000004</v>
      </c>
      <c r="AC12" s="83">
        <f t="shared" si="6"/>
        <v>2.9739932885906044</v>
      </c>
      <c r="AD12" s="83">
        <f t="shared" si="7"/>
        <v>6.0255872483221484</v>
      </c>
      <c r="AE12" t="s">
        <v>44</v>
      </c>
      <c r="AF12" t="s">
        <v>45</v>
      </c>
      <c r="AG12" t="s">
        <v>45</v>
      </c>
    </row>
    <row r="13" spans="1:33">
      <c r="A13" s="10" t="s">
        <v>24</v>
      </c>
      <c r="B13" s="11" t="s">
        <v>28</v>
      </c>
      <c r="C13" s="11">
        <f>VLOOKUP($B13,'BaseLine Data'!$B9:$AQ21,2,FALSE)</f>
        <v>1</v>
      </c>
      <c r="D13" s="11" t="str">
        <f>VLOOKUP($B13,'BaseLine Data'!$B9:$AQ21,3,FALSE)</f>
        <v>Milton</v>
      </c>
      <c r="E13" s="11">
        <f>VLOOKUP($B13,'BaseLine Data'!$B9:$AQ21,4,FALSE)</f>
        <v>1600</v>
      </c>
      <c r="F13" s="11">
        <f>VLOOKUP($B13,'BaseLine Data'!$B9:$AQ21,2,FALSE)</f>
        <v>1</v>
      </c>
      <c r="G13" s="11">
        <f>VLOOKUP($B13,'BaseLine Data'!$B9:$AQ21,6,FALSE)</f>
        <v>2</v>
      </c>
      <c r="H13" s="11">
        <f>VLOOKUP($B13,'BaseLine Data'!$B9:$AQ21,7,FALSE)</f>
        <v>1960</v>
      </c>
      <c r="I13" s="11">
        <f>VLOOKUP($B13,'BaseLine Data'!$B9:$AQ21,13,FALSE)</f>
        <v>2368</v>
      </c>
      <c r="J13" s="11">
        <f>VLOOKUP($B13,'BaseLine Data'!$B9:$AQ21,14,FALSE)</f>
        <v>2368</v>
      </c>
      <c r="K13" s="11">
        <f>VLOOKUP($B13,'BaseLine Data'!$B9:$AQ21,19,FALSE)</f>
        <v>1695</v>
      </c>
      <c r="L13" s="11">
        <f>VLOOKUP($B13,'BaseLine Data'!$B9:$AQ21,20,FALSE)</f>
        <v>584</v>
      </c>
      <c r="M13" s="47">
        <f>VLOOKUP($B13,'BaseLine Data'!$B9:$AQ21,21,FALSE)</f>
        <v>4.5285337703049304</v>
      </c>
      <c r="N13" s="47">
        <f>VLOOKUP($B13,'BaseLine Data'!$B9:$AQ21,22,FALSE)</f>
        <v>1.4326835012429675</v>
      </c>
      <c r="O13" s="47">
        <f>VLOOKUP($B13,'BaseLine Data'!$B9:$AQ21,25,FALSE)</f>
        <v>0.71579391891891897</v>
      </c>
      <c r="P13" s="47">
        <f>VLOOKUP($B13,'BaseLine Data'!$B9:$AQ21,26,FALSE)</f>
        <v>0.24662162162162163</v>
      </c>
      <c r="Q13" s="47">
        <f>VLOOKUP($B13,'BaseLine Data'!$B9:$AQ21,35,FALSE)</f>
        <v>2.4700000000000002</v>
      </c>
      <c r="R13" s="47">
        <f>VLOOKUP($B13,'BaseLine Data'!$B9:$AQ21,36,FALSE)</f>
        <v>5.74</v>
      </c>
      <c r="S13" s="40">
        <f>VLOOKUP($B13,'BaseLine Data'!$B9:$AQ21,29,FALSE)</f>
        <v>53.59</v>
      </c>
      <c r="T13" s="40">
        <f>VLOOKUP($B13,'BaseLine Data'!$B9:$AQ21,30,FALSE)</f>
        <v>108.13</v>
      </c>
      <c r="U13" s="48">
        <f t="shared" si="0"/>
        <v>23.950000000000003</v>
      </c>
      <c r="V13" s="48">
        <f t="shared" si="1"/>
        <v>39.25</v>
      </c>
      <c r="W13" s="59">
        <f t="shared" si="2"/>
        <v>10.114020270270272</v>
      </c>
      <c r="X13" s="59">
        <f t="shared" si="3"/>
        <v>16.575168918918919</v>
      </c>
      <c r="Y13" s="40">
        <f>VLOOKUP($B13,'BaseLine Data'!$B9:$AQ21,32,FALSE)</f>
        <v>26.05</v>
      </c>
      <c r="Z13" s="48">
        <f>VLOOKUP($B13,'BaseLine Data'!$B9:$AQ21,33,FALSE)</f>
        <v>50.54</v>
      </c>
      <c r="AA13" s="59">
        <f t="shared" si="4"/>
        <v>11.23</v>
      </c>
      <c r="AB13" s="59">
        <f t="shared" si="5"/>
        <v>16.100000000000001</v>
      </c>
      <c r="AC13" s="83">
        <f t="shared" si="6"/>
        <v>4.7423986486486482</v>
      </c>
      <c r="AD13" s="83">
        <f t="shared" si="7"/>
        <v>6.7989864864864868</v>
      </c>
      <c r="AE13" t="s">
        <v>44</v>
      </c>
      <c r="AF13" t="s">
        <v>45</v>
      </c>
      <c r="AG13" t="s">
        <v>44</v>
      </c>
    </row>
    <row r="14" spans="1:33">
      <c r="A14" s="10" t="s">
        <v>24</v>
      </c>
      <c r="B14" s="11" t="s">
        <v>33</v>
      </c>
      <c r="C14" s="11">
        <f>VLOOKUP($B14,'BaseLine Data'!$B9:$AQ21,2,FALSE)</f>
        <v>3</v>
      </c>
      <c r="D14" s="11" t="str">
        <f>VLOOKUP($B14,'BaseLine Data'!$B9:$AQ21,3,FALSE)</f>
        <v>Jamaica Plain</v>
      </c>
      <c r="E14" s="11">
        <f>VLOOKUP($B14,'BaseLine Data'!$B9:$AQ21,4,FALSE)</f>
        <v>3885</v>
      </c>
      <c r="F14" s="11">
        <f>VLOOKUP($B14,'BaseLine Data'!$B9:$AQ21,2,FALSE)</f>
        <v>3</v>
      </c>
      <c r="G14" s="11">
        <f>VLOOKUP($B14,'BaseLine Data'!$B9:$AQ21,6,FALSE)</f>
        <v>3</v>
      </c>
      <c r="H14" s="11">
        <f>VLOOKUP($B14,'BaseLine Data'!$B9:$AQ21,7,FALSE)</f>
        <v>1907</v>
      </c>
      <c r="I14" s="11">
        <f>VLOOKUP($B14,'BaseLine Data'!$B9:$AQ21,13,FALSE)</f>
        <v>3885</v>
      </c>
      <c r="J14" s="11">
        <f>VLOOKUP($B14,'BaseLine Data'!$B9:$AQ21,14,FALSE)</f>
        <v>3885</v>
      </c>
      <c r="K14" s="11">
        <f>VLOOKUP($B14,'BaseLine Data'!$B9:$AQ21,19,FALSE)</f>
        <v>7729</v>
      </c>
      <c r="L14" s="11">
        <f>VLOOKUP($B14,'BaseLine Data'!$B9:$AQ21,20,FALSE)</f>
        <v>1802</v>
      </c>
      <c r="M14" s="47">
        <f>VLOOKUP($B14,'BaseLine Data'!$B9:$AQ21,21,FALSE)</f>
        <v>10.889494199971821</v>
      </c>
      <c r="N14" s="47">
        <f>VLOOKUP($B14,'BaseLine Data'!$B9:$AQ21,22,FALSE)</f>
        <v>2.5388625369839852</v>
      </c>
      <c r="O14" s="47">
        <f>VLOOKUP($B14,'BaseLine Data'!$B9:$AQ21,25,FALSE)</f>
        <v>1.9894465894465894</v>
      </c>
      <c r="P14" s="47">
        <f>VLOOKUP($B14,'BaseLine Data'!$B9:$AQ21,26,FALSE)</f>
        <v>0.46383526383526386</v>
      </c>
      <c r="Q14" s="47">
        <f>VLOOKUP($B14,'BaseLine Data'!$B9:$AQ21,35,FALSE)</f>
        <v>4.38</v>
      </c>
      <c r="R14" s="47">
        <f>VLOOKUP($B14,'BaseLine Data'!$B9:$AQ21,36,FALSE)</f>
        <v>8.08</v>
      </c>
      <c r="S14" s="40">
        <f>VLOOKUP($B14,'BaseLine Data'!$B9:$AQ21,29,FALSE)</f>
        <v>100.8</v>
      </c>
      <c r="T14" s="40">
        <f>VLOOKUP($B14,'BaseLine Data'!$B9:$AQ21,30,FALSE)</f>
        <v>153.69999999999999</v>
      </c>
      <c r="U14" s="48">
        <f t="shared" si="0"/>
        <v>48.239999999999995</v>
      </c>
      <c r="V14" s="48">
        <f t="shared" si="1"/>
        <v>56.739999999999981</v>
      </c>
      <c r="W14" s="59">
        <f t="shared" si="2"/>
        <v>12.416988416988415</v>
      </c>
      <c r="X14" s="59">
        <f t="shared" si="3"/>
        <v>14.604890604890599</v>
      </c>
      <c r="Y14" s="40">
        <f>VLOOKUP($B14,'BaseLine Data'!$B9:$AQ21,32,FALSE)</f>
        <v>50.35</v>
      </c>
      <c r="Z14" s="48">
        <f>VLOOKUP($B14,'BaseLine Data'!$B9:$AQ21,33,FALSE)</f>
        <v>75.52</v>
      </c>
      <c r="AA14" s="59">
        <f t="shared" si="4"/>
        <v>24.07</v>
      </c>
      <c r="AB14" s="59">
        <f t="shared" si="5"/>
        <v>27.039999999999992</v>
      </c>
      <c r="AC14" s="83">
        <f t="shared" si="6"/>
        <v>6.1956241956241955</v>
      </c>
      <c r="AD14" s="83">
        <f t="shared" si="7"/>
        <v>6.960102960102958</v>
      </c>
      <c r="AE14" t="s">
        <v>44</v>
      </c>
      <c r="AF14" t="s">
        <v>45</v>
      </c>
      <c r="AG14" t="s">
        <v>44</v>
      </c>
    </row>
    <row r="15" spans="1:33" ht="30">
      <c r="A15" s="10" t="s">
        <v>24</v>
      </c>
      <c r="B15" s="11" t="s">
        <v>30</v>
      </c>
      <c r="C15" s="11">
        <f>VLOOKUP($B15,'BaseLine Data'!$B9:$AQ21,2,FALSE)</f>
        <v>2</v>
      </c>
      <c r="D15" s="11" t="str">
        <f>VLOOKUP($B15,'BaseLine Data'!$B9:$AQ21,3,FALSE)</f>
        <v>Arlington</v>
      </c>
      <c r="E15" s="11">
        <f>VLOOKUP($B15,'BaseLine Data'!$B9:$AQ21,4,FALSE)</f>
        <v>2112</v>
      </c>
      <c r="F15" s="11">
        <f>VLOOKUP($B15,'BaseLine Data'!$B9:$AQ21,2,FALSE)</f>
        <v>2</v>
      </c>
      <c r="G15" s="11">
        <f>VLOOKUP($B15,'BaseLine Data'!$B9:$AQ21,6,FALSE)</f>
        <v>2</v>
      </c>
      <c r="H15" s="11">
        <f>VLOOKUP($B15,'BaseLine Data'!$B9:$AQ21,7,FALSE)</f>
        <v>1910</v>
      </c>
      <c r="I15" s="11">
        <f>VLOOKUP($B15,'BaseLine Data'!$B9:$AQ21,13,FALSE)</f>
        <v>2502</v>
      </c>
      <c r="J15" s="11">
        <f>VLOOKUP($B15,'BaseLine Data'!$B9:$AQ21,14,FALSE)</f>
        <v>3627</v>
      </c>
      <c r="K15" s="11">
        <f>VLOOKUP($B15,'BaseLine Data'!$B9:$AQ21,19,FALSE)</f>
        <v>8730</v>
      </c>
      <c r="L15" s="11">
        <f>VLOOKUP($B15,'BaseLine Data'!$B9:$AQ21,20,FALSE)</f>
        <v>3586</v>
      </c>
      <c r="M15" s="47">
        <f>VLOOKUP($B15,'BaseLine Data'!$B9:$AQ21,21,FALSE)</f>
        <v>25.986009822890313</v>
      </c>
      <c r="N15" s="47">
        <f>VLOOKUP($B15,'BaseLine Data'!$B9:$AQ21,22,FALSE)</f>
        <v>7.2571505666486775</v>
      </c>
      <c r="O15" s="47">
        <f>VLOOKUP($B15,'BaseLine Data'!$B9:$AQ21,25,FALSE)</f>
        <v>3.4892086330935252</v>
      </c>
      <c r="P15" s="47">
        <f>VLOOKUP($B15,'BaseLine Data'!$B9:$AQ21,26,FALSE)</f>
        <v>0.98869589192169838</v>
      </c>
      <c r="Q15" s="47">
        <f>VLOOKUP($B15,'BaseLine Data'!$B9:$AQ21,35,FALSE)</f>
        <v>4.1500000000000004</v>
      </c>
      <c r="R15" s="47">
        <f>VLOOKUP($B15,'BaseLine Data'!$B9:$AQ21,36,FALSE)</f>
        <v>10.76</v>
      </c>
      <c r="S15" s="40">
        <f>VLOOKUP($B15,'BaseLine Data'!$B9:$AQ21,29,FALSE)</f>
        <v>100.75</v>
      </c>
      <c r="T15" s="40">
        <f>VLOOKUP($B15,'BaseLine Data'!$B9:$AQ21,30,FALSE)</f>
        <v>216.58</v>
      </c>
      <c r="U15" s="48">
        <f t="shared" si="0"/>
        <v>50.949999999999996</v>
      </c>
      <c r="V15" s="48">
        <f t="shared" si="1"/>
        <v>87.460000000000008</v>
      </c>
      <c r="W15" s="59">
        <f t="shared" si="2"/>
        <v>14.047422111938239</v>
      </c>
      <c r="X15" s="59">
        <f t="shared" si="3"/>
        <v>24.113592500689279</v>
      </c>
      <c r="Y15" s="40">
        <f>VLOOKUP($B15,'BaseLine Data'!$B9:$AQ21,32,FALSE)</f>
        <v>44.42</v>
      </c>
      <c r="Z15" s="48">
        <f>VLOOKUP($B15,'BaseLine Data'!$B9:$AQ21,33,FALSE)</f>
        <v>91.72</v>
      </c>
      <c r="AA15" s="59">
        <f t="shared" si="4"/>
        <v>19.52</v>
      </c>
      <c r="AB15" s="59">
        <f t="shared" si="5"/>
        <v>27.159999999999997</v>
      </c>
      <c r="AC15" s="83">
        <f t="shared" si="6"/>
        <v>5.3818582850840917</v>
      </c>
      <c r="AD15" s="83">
        <f t="shared" si="7"/>
        <v>7.4882823269920031</v>
      </c>
      <c r="AE15" t="s">
        <v>44</v>
      </c>
      <c r="AF15" t="s">
        <v>45</v>
      </c>
      <c r="AG15" t="s">
        <v>44</v>
      </c>
    </row>
    <row r="16" spans="1:33">
      <c r="A16" s="10" t="s">
        <v>24</v>
      </c>
      <c r="B16" s="11" t="s">
        <v>32</v>
      </c>
      <c r="C16" s="11">
        <f>VLOOKUP($B16,'BaseLine Data'!$B9:$AQ21,2,FALSE)</f>
        <v>1</v>
      </c>
      <c r="D16" s="11" t="str">
        <f>VLOOKUP($B16,'BaseLine Data'!$B9:$AQ21,3,FALSE)</f>
        <v>Newton</v>
      </c>
      <c r="E16" s="11">
        <f>VLOOKUP($B16,'BaseLine Data'!$B9:$AQ21,4,FALSE)</f>
        <v>1724</v>
      </c>
      <c r="F16" s="11">
        <f>VLOOKUP($B16,'BaseLine Data'!$B9:$AQ21,2,FALSE)</f>
        <v>1</v>
      </c>
      <c r="G16" s="11">
        <f>VLOOKUP($B16,'BaseLine Data'!$B9:$AQ21,6,FALSE)</f>
        <v>1</v>
      </c>
      <c r="H16" s="11">
        <f>VLOOKUP($B16,'BaseLine Data'!$B9:$AQ21,7,FALSE)</f>
        <v>1930</v>
      </c>
      <c r="I16" s="11">
        <f>VLOOKUP($B16,'BaseLine Data'!$B9:$AQ21,13,FALSE)</f>
        <v>1815</v>
      </c>
      <c r="J16" s="11">
        <f>VLOOKUP($B16,'BaseLine Data'!$B9:$AQ21,14,FALSE)</f>
        <v>2199</v>
      </c>
      <c r="K16" s="11">
        <f>VLOOKUP($B16,'BaseLine Data'!$B9:$AQ21,19,FALSE)</f>
        <v>3199</v>
      </c>
      <c r="L16" s="11">
        <f>VLOOKUP($B16,'BaseLine Data'!$B9:$AQ21,20,FALSE)</f>
        <v>1299</v>
      </c>
      <c r="M16" s="47">
        <f>VLOOKUP($B16,'BaseLine Data'!$B9:$AQ21,21,FALSE)</f>
        <v>10.192767245499441</v>
      </c>
      <c r="N16" s="47">
        <f>VLOOKUP($B16,'BaseLine Data'!$B9:$AQ21,22,FALSE)</f>
        <v>3.558254200146092</v>
      </c>
      <c r="O16" s="47">
        <f>VLOOKUP($B16,'BaseLine Data'!$B9:$AQ21,25,FALSE)</f>
        <v>1.7625344352617081</v>
      </c>
      <c r="P16" s="47">
        <f>VLOOKUP($B16,'BaseLine Data'!$B9:$AQ21,26,FALSE)</f>
        <v>0.59072305593451568</v>
      </c>
      <c r="Q16" s="47">
        <f>VLOOKUP($B16,'BaseLine Data'!$B9:$AQ21,35,FALSE)</f>
        <v>2.59</v>
      </c>
      <c r="R16" s="47">
        <f>VLOOKUP($B16,'BaseLine Data'!$B9:$AQ21,36,FALSE)</f>
        <v>6.25</v>
      </c>
      <c r="S16" s="40">
        <f>VLOOKUP($B16,'BaseLine Data'!$B9:$AQ21,29,FALSE)</f>
        <v>66.16</v>
      </c>
      <c r="T16" s="40">
        <f>VLOOKUP($B16,'BaseLine Data'!$B9:$AQ21,30,FALSE)</f>
        <v>125.36</v>
      </c>
      <c r="U16" s="48">
        <f t="shared" si="0"/>
        <v>35.08</v>
      </c>
      <c r="V16" s="48">
        <f t="shared" si="1"/>
        <v>50.36</v>
      </c>
      <c r="W16" s="59">
        <f t="shared" si="2"/>
        <v>15.952705775352433</v>
      </c>
      <c r="X16" s="59">
        <f t="shared" si="3"/>
        <v>22.901318781264212</v>
      </c>
      <c r="Y16" s="40">
        <f>VLOOKUP($B16,'BaseLine Data'!$B9:$AQ21,32,FALSE)</f>
        <v>28.33</v>
      </c>
      <c r="Z16" s="48">
        <f>VLOOKUP($B16,'BaseLine Data'!$B9:$AQ21,33,FALSE)</f>
        <v>55.42</v>
      </c>
      <c r="AA16" s="59">
        <f t="shared" si="4"/>
        <v>12.79</v>
      </c>
      <c r="AB16" s="59">
        <f t="shared" si="5"/>
        <v>17.920000000000002</v>
      </c>
      <c r="AC16" s="83">
        <f t="shared" si="6"/>
        <v>5.8162801273306046</v>
      </c>
      <c r="AD16" s="83">
        <f t="shared" si="7"/>
        <v>8.1491587085038653</v>
      </c>
      <c r="AE16" t="s">
        <v>44</v>
      </c>
      <c r="AF16" t="s">
        <v>45</v>
      </c>
      <c r="AG16" t="s">
        <v>44</v>
      </c>
    </row>
    <row r="17" spans="1:33">
      <c r="A17" s="10" t="s">
        <v>24</v>
      </c>
      <c r="B17" s="11" t="s">
        <v>37</v>
      </c>
      <c r="C17" s="11">
        <f>VLOOKUP($B17,'BaseLine Data'!$B9:$AQ21,2,FALSE)</f>
        <v>1</v>
      </c>
      <c r="D17" s="11" t="str">
        <f>VLOOKUP($B17,'BaseLine Data'!$B9:$AQ21,3,FALSE)</f>
        <v>Westford</v>
      </c>
      <c r="E17" s="11">
        <f>VLOOKUP($B17,'BaseLine Data'!$B9:$AQ21,4,FALSE)</f>
        <v>2906</v>
      </c>
      <c r="F17" s="11">
        <f>VLOOKUP($B17,'BaseLine Data'!$B9:$AQ21,2,FALSE)</f>
        <v>1</v>
      </c>
      <c r="G17" s="11">
        <f>VLOOKUP($B17,'BaseLine Data'!$B9:$AQ21,6,FALSE)</f>
        <v>2</v>
      </c>
      <c r="H17" s="11">
        <f>VLOOKUP($B17,'BaseLine Data'!$B9:$AQ21,7,FALSE)</f>
        <v>1993</v>
      </c>
      <c r="I17" s="11">
        <f>VLOOKUP($B17,'BaseLine Data'!$B9:$AQ21,13,FALSE)</f>
        <v>2906</v>
      </c>
      <c r="J17" s="11">
        <f>VLOOKUP($B17,'BaseLine Data'!$B9:$AQ21,14,FALSE)</f>
        <v>3955</v>
      </c>
      <c r="K17" s="11">
        <f>VLOOKUP($B17,'BaseLine Data'!$B9:$AQ21,19,FALSE)</f>
        <v>2592</v>
      </c>
      <c r="L17" s="11">
        <f>VLOOKUP($B17,'BaseLine Data'!$B9:$AQ21,20,FALSE)</f>
        <v>930</v>
      </c>
      <c r="M17" s="47">
        <f>VLOOKUP($B17,'BaseLine Data'!$B9:$AQ21,21,FALSE)</f>
        <v>4.8259169614596908</v>
      </c>
      <c r="N17" s="47">
        <f>VLOOKUP($B17,'BaseLine Data'!$B9:$AQ21,22,FALSE)</f>
        <v>1.2546374367622262</v>
      </c>
      <c r="O17" s="47">
        <f>VLOOKUP($B17,'BaseLine Data'!$B9:$AQ21,25,FALSE)</f>
        <v>0.89194769442532695</v>
      </c>
      <c r="P17" s="47">
        <f>VLOOKUP($B17,'BaseLine Data'!$B9:$AQ21,26,FALSE)</f>
        <v>0.23514538558786346</v>
      </c>
      <c r="Q17" s="47">
        <f>VLOOKUP($B17,'BaseLine Data'!$B9:$AQ21,35,FALSE)</f>
        <v>4.2300000000000004</v>
      </c>
      <c r="R17" s="47">
        <f>VLOOKUP($B17,'BaseLine Data'!$B9:$AQ21,36,FALSE)</f>
        <v>9.76</v>
      </c>
      <c r="S17" s="40">
        <f>VLOOKUP($B17,'BaseLine Data'!$B9:$AQ21,29,FALSE)</f>
        <v>0</v>
      </c>
      <c r="T17" s="40">
        <f>VLOOKUP($B17,'BaseLine Data'!$B9:$AQ21,30,FALSE)</f>
        <v>0</v>
      </c>
      <c r="U17" s="48">
        <f t="shared" si="0"/>
        <v>0</v>
      </c>
      <c r="V17" s="48">
        <f t="shared" si="1"/>
        <v>0</v>
      </c>
      <c r="W17" s="59">
        <f t="shared" si="2"/>
        <v>0</v>
      </c>
      <c r="X17" s="59">
        <f t="shared" si="3"/>
        <v>0</v>
      </c>
      <c r="Y17" s="40">
        <f>VLOOKUP($B17,'BaseLine Data'!$B9:$AQ21,32,FALSE)</f>
        <v>56.66</v>
      </c>
      <c r="Z17" s="48">
        <f>VLOOKUP($B17,'BaseLine Data'!$B9:$AQ21,33,FALSE)</f>
        <v>103.25</v>
      </c>
      <c r="AA17" s="59">
        <f t="shared" si="4"/>
        <v>31.279999999999994</v>
      </c>
      <c r="AB17" s="59">
        <f t="shared" si="5"/>
        <v>44.69</v>
      </c>
      <c r="AC17" s="83">
        <f t="shared" si="6"/>
        <v>7.9089759797724382</v>
      </c>
      <c r="AD17" s="83">
        <f t="shared" si="7"/>
        <v>11.299620733249052</v>
      </c>
      <c r="AE17" t="s">
        <v>44</v>
      </c>
      <c r="AF17" t="s">
        <v>45</v>
      </c>
      <c r="AG17" t="s">
        <v>44</v>
      </c>
    </row>
    <row r="18" spans="1:33" ht="30">
      <c r="A18" s="10" t="s">
        <v>24</v>
      </c>
      <c r="B18" s="11" t="s">
        <v>34</v>
      </c>
      <c r="C18" s="11">
        <f>VLOOKUP($B18,'BaseLine Data'!$B9:$AQ21,2,FALSE)</f>
        <v>1</v>
      </c>
      <c r="D18" s="11" t="str">
        <f>VLOOKUP($B18,'BaseLine Data'!$B9:$AQ21,3,FALSE)</f>
        <v>Northampton</v>
      </c>
      <c r="E18" s="11">
        <f>VLOOKUP($B18,'BaseLine Data'!$B9:$AQ21,4,FALSE)</f>
        <v>2032</v>
      </c>
      <c r="F18" s="11">
        <f>VLOOKUP($B18,'BaseLine Data'!$B9:$AQ21,2,FALSE)</f>
        <v>1</v>
      </c>
      <c r="G18" s="11">
        <f>VLOOKUP($B18,'BaseLine Data'!$B9:$AQ21,6,FALSE)</f>
        <v>1</v>
      </c>
      <c r="H18" s="11">
        <f>VLOOKUP($B18,'BaseLine Data'!$B9:$AQ21,7,FALSE)</f>
        <v>1859</v>
      </c>
      <c r="I18" s="11">
        <f>VLOOKUP($B18,'BaseLine Data'!$B9:$AQ21,13,FALSE)</f>
        <v>2032</v>
      </c>
      <c r="J18" s="11">
        <f>VLOOKUP($B18,'BaseLine Data'!$B9:$AQ21,14,FALSE)</f>
        <v>2747</v>
      </c>
      <c r="K18" s="11">
        <f>VLOOKUP($B18,'BaseLine Data'!$B9:$AQ21,19,FALSE)</f>
        <v>6155</v>
      </c>
      <c r="L18" s="11">
        <f>VLOOKUP($B18,'BaseLine Data'!$B9:$AQ21,20,FALSE)</f>
        <v>473</v>
      </c>
      <c r="M18" s="47">
        <f>VLOOKUP($B18,'BaseLine Data'!$B9:$AQ21,21,FALSE)</f>
        <v>0</v>
      </c>
      <c r="N18" s="47">
        <f>VLOOKUP($B18,'BaseLine Data'!$B9:$AQ21,22,FALSE)</f>
        <v>0.81966266173752311</v>
      </c>
      <c r="O18" s="47">
        <f>VLOOKUP($B18,'BaseLine Data'!$B9:$AQ21,25,FALSE)</f>
        <v>3.0290354330708662</v>
      </c>
      <c r="P18" s="47">
        <f>VLOOKUP($B18,'BaseLine Data'!$B9:$AQ21,26,FALSE)</f>
        <v>0.17218784128139789</v>
      </c>
      <c r="Q18" s="47">
        <f>VLOOKUP($B18,'BaseLine Data'!$B9:$AQ21,35,FALSE)</f>
        <v>1.61</v>
      </c>
      <c r="R18" s="47">
        <f>VLOOKUP($B18,'BaseLine Data'!$B9:$AQ21,36,FALSE)</f>
        <v>5.37</v>
      </c>
      <c r="S18" s="40">
        <f>VLOOKUP($B18,'BaseLine Data'!$B9:$AQ21,29,FALSE)</f>
        <v>26.27</v>
      </c>
      <c r="T18" s="40">
        <f>VLOOKUP($B18,'BaseLine Data'!$B9:$AQ21,30,FALSE)</f>
        <v>87.74</v>
      </c>
      <c r="U18" s="48">
        <f t="shared" si="0"/>
        <v>6.9499999999999993</v>
      </c>
      <c r="V18" s="48">
        <f t="shared" si="1"/>
        <v>23.299999999999997</v>
      </c>
      <c r="W18" s="59">
        <f t="shared" si="2"/>
        <v>2.530032763014197</v>
      </c>
      <c r="X18" s="59">
        <f t="shared" si="3"/>
        <v>8.4819803421914806</v>
      </c>
      <c r="Y18" s="40">
        <f>VLOOKUP($B18,'BaseLine Data'!$B9:$AQ21,32,FALSE)</f>
        <v>12.38</v>
      </c>
      <c r="Z18" s="48">
        <f>VLOOKUP($B18,'BaseLine Data'!$B9:$AQ21,33,FALSE)</f>
        <v>41.35</v>
      </c>
      <c r="AA18" s="59">
        <f t="shared" si="4"/>
        <v>2.7200000000000006</v>
      </c>
      <c r="AB18" s="59">
        <f t="shared" si="5"/>
        <v>9.1300000000000026</v>
      </c>
      <c r="AC18" s="83">
        <f t="shared" si="6"/>
        <v>0.9901710957408083</v>
      </c>
      <c r="AD18" s="83">
        <f t="shared" si="7"/>
        <v>3.3236257735711692</v>
      </c>
      <c r="AE18" t="s">
        <v>45</v>
      </c>
      <c r="AF18" t="s">
        <v>45</v>
      </c>
      <c r="AG18" t="s">
        <v>45</v>
      </c>
    </row>
    <row r="19" spans="1:33" ht="90">
      <c r="A19" s="10" t="s">
        <v>31</v>
      </c>
      <c r="B19" s="11" t="s">
        <v>35</v>
      </c>
      <c r="C19" s="11">
        <f>VLOOKUP($B19,'BaseLine Data'!$B9:$AQ21,2,FALSE)</f>
        <v>1</v>
      </c>
      <c r="D19" s="11" t="str">
        <f>VLOOKUP($B19,'BaseLine Data'!$B9:$AQ21,3,FALSE)</f>
        <v>Lancaster</v>
      </c>
      <c r="E19" s="11">
        <f>VLOOKUP($B19,'BaseLine Data'!$B9:$AQ21,4,FALSE)</f>
        <v>908</v>
      </c>
      <c r="F19" s="11">
        <f>VLOOKUP($B19,'BaseLine Data'!$B9:$AQ21,2,FALSE)</f>
        <v>1</v>
      </c>
      <c r="G19" s="11">
        <f>VLOOKUP($B19,'BaseLine Data'!$B9:$AQ21,6,FALSE)</f>
        <v>2</v>
      </c>
      <c r="H19" s="11">
        <f>VLOOKUP($B19,'BaseLine Data'!$B9:$AQ21,7,FALSE)</f>
        <v>1900</v>
      </c>
      <c r="I19" s="11">
        <f>VLOOKUP($B19,'BaseLine Data'!$B9:$AQ21,13,FALSE)</f>
        <v>980</v>
      </c>
      <c r="J19" s="11">
        <f>VLOOKUP($B19,'BaseLine Data'!$B9:$AQ21,14,FALSE)</f>
        <v>1440</v>
      </c>
      <c r="K19" s="11">
        <f>VLOOKUP($B19,'BaseLine Data'!$B9:$AQ21,19,FALSE)</f>
        <v>4254</v>
      </c>
      <c r="L19" s="11">
        <f>VLOOKUP($B19,'BaseLine Data'!$B9:$AQ21,20,FALSE)</f>
        <v>293</v>
      </c>
      <c r="M19" s="47">
        <f>VLOOKUP($B19,'BaseLine Data'!$B9:$AQ21,21,FALSE)</f>
        <v>36.050847457627121</v>
      </c>
      <c r="N19" s="47">
        <f>VLOOKUP($B19,'BaseLine Data'!$B9:$AQ21,22,FALSE)</f>
        <v>1.4250972762645915</v>
      </c>
      <c r="O19" s="47">
        <f>VLOOKUP($B19,'BaseLine Data'!$B9:$AQ21,25,FALSE)</f>
        <v>4.3408163265306126</v>
      </c>
      <c r="P19" s="47">
        <f>VLOOKUP($B19,'BaseLine Data'!$B9:$AQ21,26,FALSE)</f>
        <v>0.20347222222222222</v>
      </c>
      <c r="Q19" s="47">
        <f>VLOOKUP($B19,'BaseLine Data'!$B9:$AQ21,35,FALSE)</f>
        <v>3.3</v>
      </c>
      <c r="R19" s="47">
        <f>VLOOKUP($B19,'BaseLine Data'!$B9:$AQ21,36,FALSE)</f>
        <v>6.98</v>
      </c>
      <c r="S19" s="40">
        <f>VLOOKUP($B19,'BaseLine Data'!$B9:$AQ21,29,FALSE)</f>
        <v>0</v>
      </c>
      <c r="T19" s="40">
        <f>VLOOKUP($B19,'BaseLine Data'!$B9:$AQ21,30,FALSE)</f>
        <v>0</v>
      </c>
      <c r="U19" s="48">
        <f t="shared" si="0"/>
        <v>0</v>
      </c>
      <c r="V19" s="48">
        <f t="shared" si="1"/>
        <v>0</v>
      </c>
      <c r="W19" s="59">
        <f t="shared" si="2"/>
        <v>0</v>
      </c>
      <c r="X19" s="59">
        <f t="shared" si="3"/>
        <v>0</v>
      </c>
      <c r="Y19" s="40">
        <f>VLOOKUP($B19,'BaseLine Data'!$B9:$AQ21,32,FALSE)</f>
        <v>22.26</v>
      </c>
      <c r="Z19" s="48">
        <f>VLOOKUP($B19,'BaseLine Data'!$B9:$AQ21,33,FALSE)</f>
        <v>50.03</v>
      </c>
      <c r="AA19" s="59">
        <f t="shared" si="4"/>
        <v>2.4600000000000044</v>
      </c>
      <c r="AB19" s="59">
        <f t="shared" si="5"/>
        <v>8.1499999999999986</v>
      </c>
      <c r="AC19" s="83">
        <f t="shared" si="6"/>
        <v>1.7083333333333366</v>
      </c>
      <c r="AD19" s="83">
        <f t="shared" si="7"/>
        <v>5.6597222222222205</v>
      </c>
      <c r="AE19" s="10" t="s">
        <v>45</v>
      </c>
      <c r="AF19" s="10" t="s">
        <v>45</v>
      </c>
      <c r="AG19" s="10" t="s">
        <v>44</v>
      </c>
    </row>
    <row r="20" spans="1:33" ht="30">
      <c r="A20" s="10" t="s">
        <v>24</v>
      </c>
      <c r="B20" s="11" t="s">
        <v>38</v>
      </c>
      <c r="C20" s="11">
        <f>VLOOKUP($B20,'BaseLine Data'!$B9:$AQ21,2,FALSE)</f>
        <v>1</v>
      </c>
      <c r="D20" s="11" t="str">
        <f>VLOOKUP($B20,'BaseLine Data'!$B9:$AQ21,3,FALSE)</f>
        <v>Gloucester</v>
      </c>
      <c r="E20" s="11">
        <f>VLOOKUP($B20,'BaseLine Data'!$B9:$AQ21,4,FALSE)</f>
        <v>2171</v>
      </c>
      <c r="F20" s="11">
        <f>VLOOKUP($B20,'BaseLine Data'!$B9:$AQ21,2,FALSE)</f>
        <v>1</v>
      </c>
      <c r="G20" s="11">
        <f>VLOOKUP($B20,'BaseLine Data'!$B9:$AQ21,6,FALSE)</f>
        <v>2</v>
      </c>
      <c r="H20" s="11">
        <f>VLOOKUP($B20,'BaseLine Data'!$B9:$AQ21,7,FALSE)</f>
        <v>1920</v>
      </c>
      <c r="I20" s="11">
        <f>VLOOKUP($B20,'BaseLine Data'!$B9:$AQ21,13,FALSE)</f>
        <v>2171</v>
      </c>
      <c r="J20" s="11">
        <f>VLOOKUP($B20,'BaseLine Data'!$B9:$AQ21,14,FALSE)</f>
        <v>2424</v>
      </c>
      <c r="K20" s="11">
        <f>VLOOKUP($B20,'BaseLine Data'!$B9:$AQ21,19,FALSE)</f>
        <v>2258</v>
      </c>
      <c r="L20" s="11">
        <f>VLOOKUP($B20,'BaseLine Data'!$B9:$AQ21,20,FALSE)</f>
        <v>235</v>
      </c>
      <c r="M20" s="47" t="e">
        <f>VLOOKUP($B20,'BaseLine Data'!$B9:$AQ21,21,FALSE)</f>
        <v>#DIV/0!</v>
      </c>
      <c r="N20" s="47">
        <f>VLOOKUP($B20,'BaseLine Data'!$B9:$AQ21,22,FALSE)</f>
        <v>0.60554004724071286</v>
      </c>
      <c r="O20" s="47">
        <f>VLOOKUP($B20,'BaseLine Data'!$B9:$AQ21,25,FALSE)</f>
        <v>1.0400736987563335</v>
      </c>
      <c r="P20" s="47">
        <f>VLOOKUP($B20,'BaseLine Data'!$B9:$AQ21,26,FALSE)</f>
        <v>9.6947194719471941E-2</v>
      </c>
      <c r="Q20" s="47">
        <f>VLOOKUP($B20,'BaseLine Data'!$B9:$AQ21,35,FALSE)</f>
        <v>2.4700000000000002</v>
      </c>
      <c r="R20" s="47">
        <f>VLOOKUP($B20,'BaseLine Data'!$B9:$AQ21,36,FALSE)</f>
        <v>8.24</v>
      </c>
      <c r="S20" s="40">
        <f>VLOOKUP($B20,'BaseLine Data'!$B9:$AQ21,29,FALSE)</f>
        <v>0</v>
      </c>
      <c r="T20" s="40">
        <f>VLOOKUP($B20,'BaseLine Data'!$B9:$AQ21,30,FALSE)</f>
        <v>0</v>
      </c>
      <c r="U20" s="48">
        <f t="shared" si="0"/>
        <v>0</v>
      </c>
      <c r="V20" s="48">
        <f t="shared" si="1"/>
        <v>0</v>
      </c>
      <c r="W20" s="59">
        <f t="shared" si="2"/>
        <v>0</v>
      </c>
      <c r="X20" s="59">
        <f t="shared" si="3"/>
        <v>0</v>
      </c>
      <c r="Y20" s="40">
        <f>VLOOKUP($B20,'BaseLine Data'!$B9:$AQ21,32,FALSE)</f>
        <v>19.55</v>
      </c>
      <c r="Z20" s="48">
        <f>VLOOKUP($B20,'BaseLine Data'!$B9:$AQ21,33,FALSE)</f>
        <v>65.28</v>
      </c>
      <c r="AA20" s="59">
        <f t="shared" si="4"/>
        <v>4.7300000000000004</v>
      </c>
      <c r="AB20" s="59">
        <f t="shared" si="5"/>
        <v>15.840000000000003</v>
      </c>
      <c r="AC20" s="83">
        <f t="shared" si="6"/>
        <v>1.9513201320132014</v>
      </c>
      <c r="AD20" s="83">
        <f t="shared" si="7"/>
        <v>6.534653465346536</v>
      </c>
      <c r="AE20" t="s">
        <v>45</v>
      </c>
      <c r="AF20" t="s">
        <v>45</v>
      </c>
      <c r="AG20" t="s">
        <v>45</v>
      </c>
    </row>
    <row r="21" spans="1:33">
      <c r="A21" s="10" t="s">
        <v>24</v>
      </c>
      <c r="B21" s="11" t="s">
        <v>27</v>
      </c>
      <c r="C21" s="11">
        <f>VLOOKUP($B21,'BaseLine Data'!$B9:$AQ21,2,FALSE)</f>
        <v>1</v>
      </c>
      <c r="D21" s="11" t="str">
        <f>VLOOKUP($B21,'BaseLine Data'!$B9:$AQ21,3,FALSE)</f>
        <v>Millbury</v>
      </c>
      <c r="E21" s="11">
        <f>VLOOKUP($B21,'BaseLine Data'!$B9:$AQ21,4,FALSE)</f>
        <v>1100</v>
      </c>
      <c r="F21" s="11">
        <f>VLOOKUP($B21,'BaseLine Data'!$B9:$AQ21,2,FALSE)</f>
        <v>1</v>
      </c>
      <c r="G21" s="11">
        <f>VLOOKUP($B21,'BaseLine Data'!$B9:$AQ21,6,FALSE)</f>
        <v>1.5</v>
      </c>
      <c r="H21" s="11">
        <f>VLOOKUP($B21,'BaseLine Data'!$B9:$AQ21,7,FALSE)</f>
        <v>1953</v>
      </c>
      <c r="I21" s="11">
        <f>VLOOKUP($B21,'BaseLine Data'!$B9:$AQ21,13,FALSE)</f>
        <v>1868</v>
      </c>
      <c r="J21" s="11">
        <f>VLOOKUP($B21,'BaseLine Data'!$B9:$AQ21,14,FALSE)</f>
        <v>1868</v>
      </c>
      <c r="K21" s="11">
        <f>VLOOKUP($B21,'BaseLine Data'!$B9:$AQ21,19,FALSE)</f>
        <v>2860</v>
      </c>
      <c r="L21" s="11">
        <f>VLOOKUP($B21,'BaseLine Data'!$B9:$AQ21,20,FALSE)</f>
        <v>402</v>
      </c>
      <c r="M21" s="47">
        <f>VLOOKUP($B21,'BaseLine Data'!$B9:$AQ21,21,FALSE)</f>
        <v>10.4</v>
      </c>
      <c r="N21" s="47">
        <f>VLOOKUP($B21,'BaseLine Data'!$B9:$AQ21,22,FALSE)</f>
        <v>1.4188235294117648</v>
      </c>
      <c r="O21" s="47">
        <f>VLOOKUP($B21,'BaseLine Data'!$B9:$AQ21,25,FALSE)</f>
        <v>1.5310492505353319</v>
      </c>
      <c r="P21" s="47">
        <f>VLOOKUP($B21,'BaseLine Data'!$B9:$AQ21,26,FALSE)</f>
        <v>0.21520342612419699</v>
      </c>
      <c r="Q21" s="47">
        <f>VLOOKUP($B21,'BaseLine Data'!$B9:$AQ21,35,FALSE)</f>
        <v>2.34</v>
      </c>
      <c r="R21" s="47">
        <f>VLOOKUP($B21,'BaseLine Data'!$B9:$AQ21,36,FALSE)</f>
        <v>6.58</v>
      </c>
      <c r="S21" s="40">
        <f>VLOOKUP($B21,'BaseLine Data'!$B9:$AQ21,29,FALSE)</f>
        <v>45.04</v>
      </c>
      <c r="T21" s="40">
        <f>VLOOKUP($B21,'BaseLine Data'!$B9:$AQ21,30,FALSE)</f>
        <v>129.72999999999999</v>
      </c>
      <c r="U21" s="48">
        <f t="shared" si="0"/>
        <v>16.96</v>
      </c>
      <c r="V21" s="48">
        <f t="shared" si="1"/>
        <v>50.769999999999982</v>
      </c>
      <c r="W21" s="59">
        <f t="shared" si="2"/>
        <v>9.0792291220556738</v>
      </c>
      <c r="X21" s="59">
        <f t="shared" si="3"/>
        <v>27.178800856531041</v>
      </c>
      <c r="Y21" s="40">
        <f>VLOOKUP($B21,'BaseLine Data'!$B9:$AQ21,32,FALSE)</f>
        <v>21.26</v>
      </c>
      <c r="Z21" s="48">
        <f>VLOOKUP($B21,'BaseLine Data'!$B9:$AQ21,33,FALSE)</f>
        <v>62.9</v>
      </c>
      <c r="AA21" s="59">
        <f t="shared" si="4"/>
        <v>7.2200000000000024</v>
      </c>
      <c r="AB21" s="59">
        <f t="shared" si="5"/>
        <v>23.419999999999995</v>
      </c>
      <c r="AC21" s="83">
        <f t="shared" si="6"/>
        <v>3.8650963597430423</v>
      </c>
      <c r="AD21" s="83">
        <f t="shared" si="7"/>
        <v>12.537473233404709</v>
      </c>
      <c r="AE21" t="s">
        <v>45</v>
      </c>
      <c r="AF21" t="s">
        <v>45</v>
      </c>
      <c r="AG21" t="s">
        <v>44</v>
      </c>
    </row>
    <row r="22" spans="1:33">
      <c r="AC22" s="35"/>
      <c r="AD22" s="35"/>
    </row>
    <row r="23" spans="1:33">
      <c r="B23" s="39"/>
      <c r="J23" s="38"/>
      <c r="L23" s="37"/>
      <c r="M23" s="35"/>
      <c r="N23" s="37"/>
      <c r="P23" s="35"/>
      <c r="Q23" s="35"/>
      <c r="R23" s="35"/>
    </row>
    <row r="24" spans="1:33">
      <c r="B24" s="39"/>
      <c r="L24" s="37"/>
      <c r="M24" s="37"/>
      <c r="N24" s="37"/>
    </row>
    <row r="25" spans="1:33">
      <c r="B25" s="39"/>
      <c r="L25" s="37"/>
      <c r="M25" s="35"/>
      <c r="N25" s="37"/>
    </row>
    <row r="26" spans="1:33">
      <c r="B26" s="39"/>
      <c r="L26" s="37"/>
      <c r="M26" s="37"/>
      <c r="N26" s="37"/>
    </row>
  </sheetData>
  <sortState ref="B9:AG21">
    <sortCondition ref="AE9:AE21"/>
    <sortCondition ref="AD9:AD21"/>
  </sortState>
  <dataValidations disablePrompts="1" count="2">
    <dataValidation type="list" allowBlank="1" showInputMessage="1" showErrorMessage="1" sqref="WVF9:WVG21 WLJ9:WLK21 WBN9:WBO21 VRR9:VRS21 VHV9:VHW21 UXZ9:UYA21 UOD9:UOE21 UEH9:UEI21 TUL9:TUM21 TKP9:TKQ21 TAT9:TAU21 SQX9:SQY21 SHB9:SHC21 RXF9:RXG21 RNJ9:RNK21 RDN9:RDO21 QTR9:QTS21 QJV9:QJW21 PZZ9:QAA21 PQD9:PQE21 PGH9:PGI21 OWL9:OWM21 OMP9:OMQ21 OCT9:OCU21 NSX9:NSY21 NJB9:NJC21 MZF9:MZG21 MPJ9:MPK21 MFN9:MFO21 LVR9:LVS21 LLV9:LLW21 LBZ9:LCA21 KSD9:KSE21 KIH9:KII21 JYL9:JYM21 JOP9:JOQ21 JET9:JEU21 IUX9:IUY21 ILB9:ILC21 IBF9:IBG21 HRJ9:HRK21 HHN9:HHO21 GXR9:GXS21 GNV9:GNW21 GDZ9:GEA21 FUD9:FUE21 FKH9:FKI21 FAL9:FAM21 EQP9:EQQ21 EGT9:EGU21 DWX9:DWY21 DNB9:DNC21 DDF9:DDG21 CTJ9:CTK21 CJN9:CJO21 BZR9:BZS21 BPV9:BPW21 BFZ9:BGA21 AWD9:AWE21 AMH9:AMI21 ACL9:ACM21 SP9:SQ21 IT9:IU21">
      <formula1>'[1]Project Statistics'!$M$74:$M$75</formula1>
    </dataValidation>
    <dataValidation type="list" allowBlank="1" showInputMessage="1" showErrorMessage="1" sqref="WVE9:WVE21 WLI9:WLI21 WBM9:WBM21 VRQ9:VRQ21 VHU9:VHU21 UXY9:UXY21 UOC9:UOC21 UEG9:UEG21 TUK9:TUK21 TKO9:TKO21 TAS9:TAS21 SQW9:SQW21 SHA9:SHA21 RXE9:RXE21 RNI9:RNI21 RDM9:RDM21 QTQ9:QTQ21 QJU9:QJU21 PZY9:PZY21 PQC9:PQC21 PGG9:PGG21 OWK9:OWK21 OMO9:OMO21 OCS9:OCS21 NSW9:NSW21 NJA9:NJA21 MZE9:MZE21 MPI9:MPI21 MFM9:MFM21 LVQ9:LVQ21 LLU9:LLU21 LBY9:LBY21 KSC9:KSC21 KIG9:KIG21 JYK9:JYK21 JOO9:JOO21 JES9:JES21 IUW9:IUW21 ILA9:ILA21 IBE9:IBE21 HRI9:HRI21 HHM9:HHM21 GXQ9:GXQ21 GNU9:GNU21 GDY9:GDY21 FUC9:FUC21 FKG9:FKG21 FAK9:FAK21 EQO9:EQO21 EGS9:EGS21 DWW9:DWW21 DNA9:DNA21 DDE9:DDE21 CTI9:CTI21 CJM9:CJM21 BZQ9:BZQ21 BPU9:BPU21 BFY9:BFY21 AWC9:AWC21 AMG9:AMG21 ACK9:ACK21 SO9:SO21 IS9:IS21">
      <formula1>'[1]Project Statistics'!$K$74:$K$79</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BaseLine Data</vt:lpstr>
      <vt:lpstr>Pre - Post site -source MBtu</vt:lpstr>
      <vt:lpstr>Pre - Post with Fuels</vt:lpstr>
      <vt:lpstr>By # of Units</vt:lpstr>
      <vt:lpstr>Site and Src EUI (3)</vt:lpstr>
      <vt:lpstr>Site and Src EUI Not Used</vt:lpstr>
      <vt:lpstr>Site and Src EUI (4)</vt:lpstr>
      <vt:lpstr>Total PV by Fuel Type</vt:lpstr>
      <vt:lpstr>EUI for heatingcooling</vt:lpstr>
      <vt:lpstr>EUI for heatingcooling (2)</vt:lpstr>
      <vt:lpstr>EUI chainsaw</vt:lpstr>
      <vt:lpstr>EUI basement</vt:lpstr>
      <vt:lpstr>EUI roof attic</vt:lpstr>
      <vt:lpstr>Worksheet</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Cathy</dc:creator>
  <cp:lastModifiedBy>Cathy</cp:lastModifiedBy>
  <cp:lastPrinted>2012-09-24T17:33:05Z</cp:lastPrinted>
  <dcterms:created xsi:type="dcterms:W3CDTF">2012-06-13T20:45:53Z</dcterms:created>
  <dcterms:modified xsi:type="dcterms:W3CDTF">2013-03-15T14:03:11Z</dcterms:modified>
</cp:coreProperties>
</file>