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3"/>
  </bookViews>
  <sheets>
    <sheet name="Pre-Retrofit" sheetId="9" r:id="rId1"/>
    <sheet name="Gas" sheetId="1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</workbook>
</file>

<file path=xl/calcChain.xml><?xml version="1.0" encoding="utf-8"?>
<calcChain xmlns="http://schemas.openxmlformats.org/spreadsheetml/2006/main">
  <c r="P32" i="8"/>
  <c r="O33"/>
  <c r="P31"/>
  <c r="P30"/>
  <c r="P29"/>
  <c r="P28"/>
  <c r="P27"/>
  <c r="M14" i="3" l="1"/>
  <c r="M13"/>
  <c r="M12"/>
  <c r="M11"/>
  <c r="M10"/>
  <c r="M9"/>
  <c r="M20"/>
  <c r="M19"/>
  <c r="M18"/>
  <c r="M17"/>
  <c r="M16"/>
  <c r="M15"/>
  <c r="L21"/>
  <c r="G20"/>
  <c r="G19"/>
  <c r="G18"/>
  <c r="G17"/>
  <c r="G16"/>
  <c r="G15"/>
  <c r="G14"/>
  <c r="G13"/>
  <c r="G12"/>
  <c r="G11"/>
  <c r="G10"/>
  <c r="G9"/>
  <c r="G8"/>
  <c r="F20"/>
  <c r="F19"/>
  <c r="F18"/>
  <c r="F17"/>
  <c r="F16"/>
  <c r="F15"/>
  <c r="F14"/>
  <c r="F13"/>
  <c r="F12"/>
  <c r="F11"/>
  <c r="F10"/>
  <c r="F9"/>
  <c r="F8"/>
  <c r="A20"/>
  <c r="A19"/>
  <c r="A18"/>
  <c r="A17"/>
  <c r="A16"/>
  <c r="A15"/>
  <c r="A14"/>
  <c r="A13"/>
  <c r="A12"/>
  <c r="A11"/>
  <c r="A10"/>
  <c r="A9"/>
  <c r="A8"/>
  <c r="F4"/>
  <c r="K31" i="8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37" i="9"/>
  <c r="K36"/>
  <c r="P37"/>
  <c r="M37"/>
  <c r="S37" s="1"/>
  <c r="Q37"/>
  <c r="D37"/>
  <c r="E37" s="1"/>
  <c r="H37" s="1"/>
  <c r="J37"/>
  <c r="C37"/>
  <c r="J36"/>
  <c r="M36" s="1"/>
  <c r="S36" s="1"/>
  <c r="C36"/>
  <c r="D36" s="1"/>
  <c r="E27"/>
  <c r="E26"/>
  <c r="E25"/>
  <c r="E24"/>
  <c r="E23"/>
  <c r="G21" i="3" l="1"/>
  <c r="M21"/>
  <c r="N37" i="9"/>
  <c r="T37" s="1"/>
  <c r="G37"/>
  <c r="P36"/>
  <c r="G36"/>
  <c r="E36"/>
  <c r="N36"/>
  <c r="H36"/>
  <c r="Q36" s="1"/>
  <c r="T36" l="1"/>
  <c r="D28" i="2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33"/>
  <c r="D32"/>
  <c r="D31"/>
  <c r="D30"/>
  <c r="D29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0"/>
  <c r="F10"/>
  <c r="G9"/>
  <c r="F9"/>
  <c r="G11"/>
  <c r="F11"/>
  <c r="C31" i="8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32" i="1"/>
  <c r="C36" i="8" l="1"/>
  <c r="D36" s="1"/>
  <c r="C38"/>
  <c r="D32" i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K8" i="8"/>
  <c r="W12"/>
  <c r="V12"/>
  <c r="W11"/>
  <c r="V11"/>
  <c r="W10"/>
  <c r="V10"/>
  <c r="N12"/>
  <c r="N11"/>
  <c r="N10"/>
  <c r="L12"/>
  <c r="L11"/>
  <c r="L10"/>
  <c r="D10"/>
  <c r="G10" s="1"/>
  <c r="D12"/>
  <c r="G12" s="1"/>
  <c r="D11"/>
  <c r="G11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D31"/>
  <c r="E1"/>
  <c r="E2"/>
  <c r="E3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D30"/>
  <c r="D29"/>
  <c r="D28"/>
  <c r="D27"/>
  <c r="D26"/>
  <c r="D25"/>
  <c r="D24"/>
  <c r="D23"/>
  <c r="D22"/>
  <c r="D21"/>
  <c r="D20"/>
  <c r="D19"/>
  <c r="D13"/>
  <c r="D14"/>
  <c r="D15"/>
  <c r="D16"/>
  <c r="D17"/>
  <c r="D18"/>
  <c r="D32" l="1"/>
  <c r="M13"/>
  <c r="R13" s="1"/>
  <c r="U13" s="1"/>
  <c r="M15"/>
  <c r="R15" s="1"/>
  <c r="U15" s="1"/>
  <c r="M17"/>
  <c r="R17" s="1"/>
  <c r="U17" s="1"/>
  <c r="M19"/>
  <c r="M21"/>
  <c r="R21" s="1"/>
  <c r="U21" s="1"/>
  <c r="M23"/>
  <c r="R23" s="1"/>
  <c r="U23" s="1"/>
  <c r="M25"/>
  <c r="R25" s="1"/>
  <c r="U25" s="1"/>
  <c r="M27"/>
  <c r="D16" i="3" s="1"/>
  <c r="M29" i="8"/>
  <c r="M31"/>
  <c r="D20" i="3" s="1"/>
  <c r="O14" i="8"/>
  <c r="O16"/>
  <c r="O18"/>
  <c r="O20"/>
  <c r="O22"/>
  <c r="O24"/>
  <c r="O26"/>
  <c r="O28"/>
  <c r="O30"/>
  <c r="M11"/>
  <c r="R11" s="1"/>
  <c r="U11" s="1"/>
  <c r="O10"/>
  <c r="O12"/>
  <c r="G36"/>
  <c r="E36"/>
  <c r="R19"/>
  <c r="U19" s="1"/>
  <c r="R27"/>
  <c r="U27" s="1"/>
  <c r="M14"/>
  <c r="M16"/>
  <c r="M18"/>
  <c r="M20"/>
  <c r="M22"/>
  <c r="M24"/>
  <c r="M26"/>
  <c r="M28"/>
  <c r="D17" i="3" s="1"/>
  <c r="M30" i="8"/>
  <c r="D19" i="3" s="1"/>
  <c r="O13" i="8"/>
  <c r="Q13" s="1"/>
  <c r="O15"/>
  <c r="Q15" s="1"/>
  <c r="O17"/>
  <c r="Q17" s="1"/>
  <c r="O19"/>
  <c r="Q19" s="1"/>
  <c r="O21"/>
  <c r="Q21" s="1"/>
  <c r="O23"/>
  <c r="Q23" s="1"/>
  <c r="O25"/>
  <c r="Q25" s="1"/>
  <c r="O27"/>
  <c r="Q27" s="1"/>
  <c r="O29"/>
  <c r="Q29" s="1"/>
  <c r="O31"/>
  <c r="Q31" s="1"/>
  <c r="M10"/>
  <c r="M12"/>
  <c r="O11"/>
  <c r="E11"/>
  <c r="Y12"/>
  <c r="T10"/>
  <c r="T11"/>
  <c r="E10"/>
  <c r="E12"/>
  <c r="G31"/>
  <c r="E20" i="3" s="1"/>
  <c r="E31" i="8"/>
  <c r="G30"/>
  <c r="E19" i="3" s="1"/>
  <c r="E30" i="8"/>
  <c r="G29"/>
  <c r="E18" i="3" s="1"/>
  <c r="E29" i="8"/>
  <c r="G28"/>
  <c r="E17" i="3" s="1"/>
  <c r="E28" i="8"/>
  <c r="G27"/>
  <c r="E16" i="3" s="1"/>
  <c r="E27" i="8"/>
  <c r="G26"/>
  <c r="E15" i="3" s="1"/>
  <c r="E26" i="8"/>
  <c r="E40" s="1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Y11" l="1"/>
  <c r="Q11"/>
  <c r="E32"/>
  <c r="O32"/>
  <c r="P16" i="3"/>
  <c r="Q16" s="1"/>
  <c r="N16"/>
  <c r="O16" s="1"/>
  <c r="M38" i="8"/>
  <c r="D15" i="3"/>
  <c r="R29" i="8"/>
  <c r="U29" s="1"/>
  <c r="D18" i="3"/>
  <c r="R31" i="8"/>
  <c r="U31" s="1"/>
  <c r="U14" i="3"/>
  <c r="V14" s="1"/>
  <c r="N15"/>
  <c r="S14"/>
  <c r="T14" s="1"/>
  <c r="P15"/>
  <c r="Q15" s="1"/>
  <c r="P17"/>
  <c r="Q17" s="1"/>
  <c r="N17"/>
  <c r="O17" s="1"/>
  <c r="N18"/>
  <c r="O18" s="1"/>
  <c r="P18"/>
  <c r="Q18" s="1"/>
  <c r="P19"/>
  <c r="Q19" s="1"/>
  <c r="N19"/>
  <c r="O19" s="1"/>
  <c r="P20"/>
  <c r="Q20" s="1"/>
  <c r="N20"/>
  <c r="O20" s="1"/>
  <c r="H36" i="8"/>
  <c r="M36"/>
  <c r="Y36" s="1"/>
  <c r="H10"/>
  <c r="R10"/>
  <c r="U10" s="1"/>
  <c r="Q10"/>
  <c r="R30"/>
  <c r="U30" s="1"/>
  <c r="Q30"/>
  <c r="R26"/>
  <c r="U26" s="1"/>
  <c r="Q26"/>
  <c r="R22"/>
  <c r="U22" s="1"/>
  <c r="Q22"/>
  <c r="R18"/>
  <c r="Q18"/>
  <c r="R14"/>
  <c r="U14" s="1"/>
  <c r="Q14"/>
  <c r="H12"/>
  <c r="H11"/>
  <c r="AA11" s="1"/>
  <c r="AD11"/>
  <c r="R12"/>
  <c r="U12" s="1"/>
  <c r="Q12"/>
  <c r="R28"/>
  <c r="U28" s="1"/>
  <c r="Q28"/>
  <c r="R24"/>
  <c r="U24" s="1"/>
  <c r="Q24"/>
  <c r="R20"/>
  <c r="U20" s="1"/>
  <c r="Q20"/>
  <c r="R16"/>
  <c r="U16" s="1"/>
  <c r="Q16"/>
  <c r="AD13"/>
  <c r="AD15"/>
  <c r="AD16"/>
  <c r="AD17"/>
  <c r="AD19"/>
  <c r="AD21"/>
  <c r="AD23"/>
  <c r="AD25"/>
  <c r="AD27"/>
  <c r="AD29"/>
  <c r="AD31"/>
  <c r="S25"/>
  <c r="AB25" s="1"/>
  <c r="T29"/>
  <c r="AC29" s="1"/>
  <c r="T28"/>
  <c r="AC28" s="1"/>
  <c r="S15"/>
  <c r="AB15" s="1"/>
  <c r="S28"/>
  <c r="AB28" s="1"/>
  <c r="T17"/>
  <c r="AC17" s="1"/>
  <c r="Y24"/>
  <c r="Y28"/>
  <c r="Y29"/>
  <c r="Y30"/>
  <c r="Y31"/>
  <c r="S29"/>
  <c r="AB29" s="1"/>
  <c r="S21"/>
  <c r="AB21" s="1"/>
  <c r="T31"/>
  <c r="AC31" s="1"/>
  <c r="S14"/>
  <c r="AB14" s="1"/>
  <c r="Y13"/>
  <c r="Y17"/>
  <c r="Y18"/>
  <c r="Y22"/>
  <c r="Y23"/>
  <c r="Y27"/>
  <c r="T27"/>
  <c r="AC27" s="1"/>
  <c r="T30"/>
  <c r="AC30" s="1"/>
  <c r="T24"/>
  <c r="AC24" s="1"/>
  <c r="S27"/>
  <c r="AB27" s="1"/>
  <c r="S23"/>
  <c r="AB23" s="1"/>
  <c r="S17"/>
  <c r="AB17" s="1"/>
  <c r="S13"/>
  <c r="AB13" s="1"/>
  <c r="T23"/>
  <c r="AC23" s="1"/>
  <c r="T13"/>
  <c r="AC13" s="1"/>
  <c r="S11"/>
  <c r="AB11" s="1"/>
  <c r="Y15"/>
  <c r="Y21"/>
  <c r="Y25"/>
  <c r="T14"/>
  <c r="AC14" s="1"/>
  <c r="T25"/>
  <c r="AC25" s="1"/>
  <c r="T21"/>
  <c r="AC21" s="1"/>
  <c r="T15"/>
  <c r="AC15" s="1"/>
  <c r="AC11"/>
  <c r="Y20"/>
  <c r="T20"/>
  <c r="AC20" s="1"/>
  <c r="S20"/>
  <c r="AB20" s="1"/>
  <c r="Y16"/>
  <c r="Y14"/>
  <c r="S10"/>
  <c r="AB10" s="1"/>
  <c r="T26"/>
  <c r="T22"/>
  <c r="AC22" s="1"/>
  <c r="T18"/>
  <c r="AC18" s="1"/>
  <c r="Z11"/>
  <c r="Y19"/>
  <c r="Y26"/>
  <c r="T16"/>
  <c r="AC16" s="1"/>
  <c r="S22"/>
  <c r="AB22" s="1"/>
  <c r="S18"/>
  <c r="AB18" s="1"/>
  <c r="S12"/>
  <c r="AB12" s="1"/>
  <c r="T12"/>
  <c r="AC12" s="1"/>
  <c r="Y10"/>
  <c r="S31"/>
  <c r="AB31" s="1"/>
  <c r="S30"/>
  <c r="AB30" s="1"/>
  <c r="S24"/>
  <c r="AB24" s="1"/>
  <c r="Z12"/>
  <c r="AC10"/>
  <c r="Z10"/>
  <c r="S26"/>
  <c r="S19"/>
  <c r="AB19" s="1"/>
  <c r="T19"/>
  <c r="AC19" s="1"/>
  <c r="S16"/>
  <c r="AB16" s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AD18" l="1"/>
  <c r="U18"/>
  <c r="AD24"/>
  <c r="AA12"/>
  <c r="U32"/>
  <c r="AB26"/>
  <c r="S32"/>
  <c r="AB32" s="1"/>
  <c r="AC26"/>
  <c r="T32"/>
  <c r="Z29"/>
  <c r="AA29"/>
  <c r="Z25"/>
  <c r="AA25"/>
  <c r="Z21"/>
  <c r="AA21"/>
  <c r="Z17"/>
  <c r="AA17"/>
  <c r="Z15"/>
  <c r="AA15"/>
  <c r="Z13"/>
  <c r="AA13"/>
  <c r="Z30"/>
  <c r="AA30"/>
  <c r="Z28"/>
  <c r="AA28"/>
  <c r="Z26"/>
  <c r="AA26"/>
  <c r="Z24"/>
  <c r="AA24"/>
  <c r="Z22"/>
  <c r="AA22"/>
  <c r="Z20"/>
  <c r="AA20"/>
  <c r="Z18"/>
  <c r="AA18"/>
  <c r="Z16"/>
  <c r="AA16"/>
  <c r="Z14"/>
  <c r="AA14"/>
  <c r="O15" i="3"/>
  <c r="O21" s="1"/>
  <c r="N21"/>
  <c r="AA10" i="8"/>
  <c r="Q21" i="3"/>
  <c r="Z31" i="8"/>
  <c r="AA31"/>
  <c r="Z27"/>
  <c r="AA27"/>
  <c r="AA41" s="1"/>
  <c r="Z23"/>
  <c r="AA23"/>
  <c r="Z19"/>
  <c r="AA19"/>
  <c r="AD26"/>
  <c r="R40"/>
  <c r="N22" i="3"/>
  <c r="R36" i="8"/>
  <c r="AA36" s="1"/>
  <c r="S36"/>
  <c r="AB36" s="1"/>
  <c r="AD28"/>
  <c r="AD20"/>
  <c r="AD30"/>
  <c r="AD41" s="1"/>
  <c r="AD22"/>
  <c r="AD14"/>
  <c r="AD12"/>
  <c r="AD10"/>
  <c r="AB41"/>
  <c r="Y41"/>
  <c r="Z41"/>
  <c r="AC41"/>
  <c r="N24" i="3" l="1"/>
  <c r="AD36" i="8"/>
</calcChain>
</file>

<file path=xl/comments1.xml><?xml version="1.0" encoding="utf-8"?>
<comments xmlns="http://schemas.openxmlformats.org/spreadsheetml/2006/main">
  <authors>
    <author>Cathy</author>
  </authors>
  <commentList>
    <comment ref="C36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Gas is only used for DHW and appliances so none is for heating/cooling; use monthly average</t>
        </r>
      </text>
    </comment>
  </commentList>
</comments>
</file>

<file path=xl/comments2.xml><?xml version="1.0" encoding="utf-8"?>
<comments xmlns="http://schemas.openxmlformats.org/spreadsheetml/2006/main">
  <authors>
    <author>Rosi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Rosi:</t>
        </r>
        <r>
          <rPr>
            <sz val="9"/>
            <color indexed="81"/>
            <rFont val="Tahoma"/>
            <family val="2"/>
          </rPr>
          <t xml:space="preserve">
Use "actual" best fit equation but put in TMY3 CDD for the value of X to get new energy use by month
</t>
        </r>
      </text>
    </comment>
  </commentList>
</comments>
</file>

<file path=xl/sharedStrings.xml><?xml version="1.0" encoding="utf-8"?>
<sst xmlns="http://schemas.openxmlformats.org/spreadsheetml/2006/main" count="165" uniqueCount="99">
  <si>
    <t>therms</t>
  </si>
  <si>
    <t>HDD</t>
  </si>
  <si>
    <t>Electricity used</t>
  </si>
  <si>
    <t>(negative)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</si>
  <si>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</si>
  <si>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</si>
  <si>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</si>
  <si>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</si>
  <si>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</si>
  <si>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</si>
  <si>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</si>
  <si>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</si>
  <si>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</si>
  <si>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</si>
  <si>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Station ID: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</si>
  <si>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</si>
  <si>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</si>
  <si>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</si>
  <si>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</si>
  <si>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</si>
  <si>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</si>
  <si>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</si>
  <si>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</si>
  <si>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</si>
  <si>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</si>
  <si>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</si>
  <si>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</si>
  <si>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</si>
  <si>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</si>
  <si>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</si>
  <si>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</si>
  <si>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</si>
  <si>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</si>
  <si>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>Retrofit Completed</t>
  </si>
  <si>
    <t>House</t>
  </si>
  <si>
    <t>Note: Electric Consumption does not capture thermal solar energy, if any, so neither do totals</t>
  </si>
  <si>
    <t>Project Start</t>
  </si>
  <si>
    <t>Lancaster Pre-Retrofit</t>
  </si>
  <si>
    <t>HFH</t>
  </si>
  <si>
    <t>No information in application</t>
  </si>
  <si>
    <t>WESTFIELD BARNES MUNICIPAL, MA, US (72.72W,42.16N)</t>
  </si>
  <si>
    <t>KBAF</t>
  </si>
  <si>
    <t>Fitchburg</t>
  </si>
  <si>
    <t>Lancaster</t>
  </si>
  <si>
    <t xml:space="preserve">Lancaster Electricity </t>
  </si>
  <si>
    <t>Totals 6 months</t>
  </si>
  <si>
    <t>Post Retrofit</t>
  </si>
  <si>
    <t>BEopt 1.3 model with 1 story and basement (i.e. original configuration</t>
  </si>
  <si>
    <t>BEOpt 1.3 model in National Grid HfHNCM/Testing and Analysis/BEopt modeling/1-3 HfH Lancaster.bpf</t>
  </si>
  <si>
    <t>PRE_RETROFIT</t>
  </si>
  <si>
    <t xml:space="preserve"> </t>
  </si>
  <si>
    <t>An alternative is model with 2 stories but pre-retrofit conditions</t>
  </si>
  <si>
    <t xml:space="preserve">PRE_RETROFIT </t>
  </si>
  <si>
    <t>gal oil to Mbtu</t>
  </si>
  <si>
    <t>40 lb pellet bag to Mbtu</t>
  </si>
  <si>
    <t>heating oil source/site</t>
  </si>
  <si>
    <t>pellet source/site</t>
  </si>
  <si>
    <t xml:space="preserve">source </t>
  </si>
  <si>
    <t xml:space="preserve">Period </t>
  </si>
  <si>
    <t>oil used</t>
  </si>
  <si>
    <t>kwh</t>
  </si>
  <si>
    <t>Mbtu</t>
  </si>
  <si>
    <t>using BEOpt model matching pre-retrofit (1 story)</t>
  </si>
  <si>
    <t>kwh electricity</t>
  </si>
  <si>
    <t>gal oil</t>
  </si>
  <si>
    <t>BEOpt model orig</t>
  </si>
  <si>
    <t>BEOpt model retro</t>
  </si>
  <si>
    <t>(with corrected location)</t>
  </si>
  <si>
    <t>grid</t>
  </si>
  <si>
    <t>buyback</t>
  </si>
  <si>
    <t>from National Grid</t>
  </si>
  <si>
    <t>PV used</t>
  </si>
  <si>
    <t>src if no PV</t>
  </si>
  <si>
    <t>MIN USAGE IN 6 MOS</t>
  </si>
  <si>
    <t>Linear Regression on Post Retrofit data</t>
  </si>
  <si>
    <t xml:space="preserve">Month </t>
  </si>
  <si>
    <t>Date</t>
  </si>
  <si>
    <t>Actual CDD</t>
  </si>
  <si>
    <t>Actual HDD</t>
  </si>
  <si>
    <t>Comments</t>
  </si>
  <si>
    <t>Predicted (BEopt 1.3)</t>
  </si>
  <si>
    <t>BEopt 1.3 CDD</t>
  </si>
  <si>
    <t>BEopt 1.3 HDD</t>
  </si>
  <si>
    <t>Actual site energy</t>
  </si>
  <si>
    <t>kWh</t>
  </si>
  <si>
    <t xml:space="preserve">electricity </t>
  </si>
  <si>
    <t>Natural Gas</t>
  </si>
  <si>
    <t>MMBtu</t>
  </si>
  <si>
    <t xml:space="preserve">Normalized </t>
  </si>
  <si>
    <t>Normalized</t>
  </si>
  <si>
    <t>site kWh</t>
  </si>
  <si>
    <t>electricity</t>
  </si>
  <si>
    <t>6 mo MMBtu</t>
  </si>
  <si>
    <t>Projected 12 mo with normalized electricity but duplicated gas</t>
  </si>
  <si>
    <t>source MMBtu</t>
  </si>
  <si>
    <t>site MMBtu</t>
  </si>
  <si>
    <t>6 MO</t>
  </si>
  <si>
    <t>if no PV</t>
  </si>
  <si>
    <t>site kWh excluding gen + used</t>
  </si>
</sst>
</file>

<file path=xl/styles.xml><?xml version="1.0" encoding="utf-8"?>
<styleSheet xmlns="http://schemas.openxmlformats.org/spreadsheetml/2006/main">
  <numFmts count="1">
    <numFmt numFmtId="164" formatCode="&quot;$&quot;#,##0.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17" fontId="0" fillId="0" borderId="0" xfId="0" applyNumberFormat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9" fillId="0" borderId="0" xfId="43" applyAlignment="1" applyProtection="1"/>
    <xf numFmtId="4" fontId="0" fillId="0" borderId="0" xfId="0" applyNumberFormat="1"/>
    <xf numFmtId="2" fontId="0" fillId="0" borderId="0" xfId="0" applyNumberFormat="1"/>
    <xf numFmtId="0" fontId="18" fillId="33" borderId="10" xfId="42" applyNumberFormat="1" applyFont="1" applyFill="1" applyBorder="1" applyAlignment="1">
      <alignment wrapText="1"/>
    </xf>
    <xf numFmtId="49" fontId="18" fillId="33" borderId="10" xfId="42" applyNumberFormat="1" applyFont="1" applyFill="1" applyBorder="1" applyAlignment="1">
      <alignment wrapText="1"/>
    </xf>
    <xf numFmtId="0" fontId="18" fillId="0" borderId="0" xfId="42" applyNumberFormat="1" applyFont="1" applyFill="1" applyBorder="1" applyAlignment="1">
      <alignment wrapText="1"/>
    </xf>
    <xf numFmtId="2" fontId="0" fillId="0" borderId="0" xfId="0" applyNumberFormat="1" applyFill="1" applyBorder="1"/>
    <xf numFmtId="1" fontId="0" fillId="0" borderId="0" xfId="0" applyNumberFormat="1"/>
    <xf numFmtId="1" fontId="0" fillId="0" borderId="0" xfId="0" applyNumberFormat="1" applyFill="1" applyBorder="1"/>
    <xf numFmtId="0" fontId="0" fillId="0" borderId="0" xfId="0" applyBorder="1"/>
    <xf numFmtId="2" fontId="0" fillId="0" borderId="0" xfId="0" applyNumberFormat="1" applyFill="1"/>
    <xf numFmtId="14" fontId="20" fillId="0" borderId="11" xfId="0" applyNumberFormat="1" applyFont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0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7" fontId="0" fillId="0" borderId="15" xfId="0" applyNumberFormat="1" applyBorder="1"/>
    <xf numFmtId="17" fontId="0" fillId="0" borderId="12" xfId="0" applyNumberFormat="1" applyBorder="1"/>
    <xf numFmtId="17" fontId="0" fillId="0" borderId="13" xfId="0" applyNumberFormat="1" applyBorder="1"/>
    <xf numFmtId="4" fontId="0" fillId="0" borderId="0" xfId="0" applyNumberFormat="1" applyBorder="1"/>
    <xf numFmtId="17" fontId="0" fillId="0" borderId="0" xfId="0" applyNumberFormat="1" applyBorder="1"/>
    <xf numFmtId="2" fontId="18" fillId="0" borderId="0" xfId="42" applyNumberFormat="1" applyFont="1" applyFill="1" applyBorder="1" applyAlignment="1">
      <alignment wrapText="1"/>
    </xf>
    <xf numFmtId="2" fontId="18" fillId="0" borderId="20" xfId="42" applyNumberFormat="1" applyFont="1" applyFill="1" applyBorder="1" applyAlignment="1">
      <alignment wrapText="1"/>
    </xf>
    <xf numFmtId="0" fontId="18" fillId="0" borderId="0" xfId="42" applyNumberFormat="1" applyFont="1" applyFill="1" applyBorder="1" applyAlignment="1"/>
    <xf numFmtId="2" fontId="0" fillId="0" borderId="21" xfId="0" applyNumberFormat="1" applyBorder="1"/>
    <xf numFmtId="0" fontId="0" fillId="0" borderId="21" xfId="0" applyBorder="1"/>
    <xf numFmtId="2" fontId="0" fillId="0" borderId="22" xfId="0" applyNumberFormat="1" applyBorder="1"/>
    <xf numFmtId="164" fontId="18" fillId="0" borderId="0" xfId="42" applyNumberFormat="1" applyFill="1" applyAlignment="1">
      <alignment horizontal="right"/>
    </xf>
    <xf numFmtId="164" fontId="23" fillId="0" borderId="18" xfId="42" applyNumberFormat="1" applyFont="1" applyFill="1" applyBorder="1" applyAlignment="1">
      <alignment horizontal="center" wrapText="1"/>
    </xf>
    <xf numFmtId="164" fontId="23" fillId="0" borderId="18" xfId="42" applyNumberFormat="1" applyFont="1" applyFill="1" applyBorder="1" applyAlignment="1">
      <alignment horizontal="right" wrapText="1"/>
    </xf>
    <xf numFmtId="0" fontId="18" fillId="0" borderId="0" xfId="42" applyNumberFormat="1" applyFill="1" applyAlignment="1"/>
    <xf numFmtId="0" fontId="24" fillId="0" borderId="0" xfId="0" applyFont="1"/>
    <xf numFmtId="0" fontId="18" fillId="0" borderId="18" xfId="42" applyNumberFormat="1" applyBorder="1" applyAlignment="1"/>
    <xf numFmtId="0" fontId="24" fillId="0" borderId="18" xfId="0" applyFont="1" applyBorder="1"/>
    <xf numFmtId="0" fontId="24" fillId="0" borderId="0" xfId="0" applyFont="1" applyBorder="1"/>
    <xf numFmtId="0" fontId="18" fillId="0" borderId="0" xfId="42" applyNumberFormat="1" applyBorder="1" applyAlignment="1"/>
    <xf numFmtId="1" fontId="25" fillId="34" borderId="0" xfId="0" applyNumberFormat="1" applyFont="1" applyFill="1" applyBorder="1"/>
    <xf numFmtId="0" fontId="18" fillId="0" borderId="0" xfId="42" applyNumberFormat="1" applyAlignment="1"/>
    <xf numFmtId="1" fontId="25" fillId="0" borderId="0" xfId="0" applyNumberFormat="1" applyFont="1"/>
    <xf numFmtId="1" fontId="25" fillId="34" borderId="18" xfId="0" applyNumberFormat="1" applyFont="1" applyFill="1" applyBorder="1"/>
    <xf numFmtId="10" fontId="0" fillId="0" borderId="0" xfId="0" applyNumberFormat="1"/>
    <xf numFmtId="4" fontId="0" fillId="0" borderId="18" xfId="0" applyNumberFormat="1" applyBorder="1"/>
    <xf numFmtId="1" fontId="0" fillId="0" borderId="18" xfId="0" applyNumberFormat="1" applyBorder="1"/>
    <xf numFmtId="1" fontId="25" fillId="34" borderId="23" xfId="0" applyNumberFormat="1" applyFont="1" applyFill="1" applyBorder="1"/>
    <xf numFmtId="1" fontId="25" fillId="34" borderId="24" xfId="0" applyNumberFormat="1" applyFont="1" applyFill="1" applyBorder="1"/>
    <xf numFmtId="1" fontId="25" fillId="34" borderId="25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3" fontId="18" fillId="0" borderId="0" xfId="42" applyNumberFormat="1" applyFont="1" applyAlignment="1">
      <alignment horizontal="center"/>
    </xf>
    <xf numFmtId="0" fontId="0" fillId="0" borderId="0" xfId="0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Lancaster Single</a:t>
            </a:r>
            <a:r>
              <a:rPr lang="en-US" baseline="0"/>
              <a:t> Family Natural Gas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55"/>
          <c:y val="0.13928441236512268"/>
          <c:w val="0.70199463053389777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Gas!$C$5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Gas!$A$11:$A$30</c:f>
              <c:numCache>
                <c:formatCode>mmm-yy</c:formatCode>
                <c:ptCount val="20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</c:numCache>
            </c:numRef>
          </c:cat>
          <c:val>
            <c:numRef>
              <c:f>Gas!$C$11:$C$30</c:f>
              <c:numCache>
                <c:formatCode>0.00</c:formatCode>
                <c:ptCount val="20"/>
                <c:pt idx="9">
                  <c:v>13</c:v>
                </c:pt>
                <c:pt idx="10">
                  <c:v>21</c:v>
                </c:pt>
                <c:pt idx="11">
                  <c:v>10</c:v>
                </c:pt>
                <c:pt idx="12">
                  <c:v>19</c:v>
                </c:pt>
                <c:pt idx="13">
                  <c:v>16</c:v>
                </c:pt>
                <c:pt idx="14">
                  <c:v>19</c:v>
                </c:pt>
                <c:pt idx="15">
                  <c:v>14</c:v>
                </c:pt>
                <c:pt idx="16">
                  <c:v>19</c:v>
                </c:pt>
                <c:pt idx="17">
                  <c:v>20</c:v>
                </c:pt>
                <c:pt idx="18">
                  <c:v>18</c:v>
                </c:pt>
                <c:pt idx="19">
                  <c:v>16</c:v>
                </c:pt>
              </c:numCache>
            </c:numRef>
          </c:val>
        </c:ser>
        <c:axId val="140971392"/>
        <c:axId val="140989952"/>
      </c:barChart>
      <c:lineChart>
        <c:grouping val="standard"/>
        <c:ser>
          <c:idx val="1"/>
          <c:order val="1"/>
          <c:tx>
            <c:strRef>
              <c:f>Gas!$D$5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Gas!$A$11:$A$17</c:f>
              <c:numCache>
                <c:formatCode>mmm-yy</c:formatCode>
                <c:ptCount val="7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</c:numCache>
            </c:numRef>
          </c:cat>
          <c:val>
            <c:numRef>
              <c:f>Gas!$D$11:$D$30</c:f>
              <c:numCache>
                <c:formatCode>General</c:formatCode>
                <c:ptCount val="20"/>
                <c:pt idx="0">
                  <c:v>1080</c:v>
                </c:pt>
                <c:pt idx="1">
                  <c:v>883</c:v>
                </c:pt>
                <c:pt idx="2">
                  <c:v>471</c:v>
                </c:pt>
                <c:pt idx="3">
                  <c:v>189</c:v>
                </c:pt>
                <c:pt idx="4">
                  <c:v>69</c:v>
                </c:pt>
                <c:pt idx="5">
                  <c:v>16</c:v>
                </c:pt>
                <c:pt idx="6">
                  <c:v>34</c:v>
                </c:pt>
                <c:pt idx="7">
                  <c:v>87</c:v>
                </c:pt>
                <c:pt idx="8">
                  <c:v>429</c:v>
                </c:pt>
                <c:pt idx="9">
                  <c:v>610</c:v>
                </c:pt>
                <c:pt idx="10">
                  <c:v>906</c:v>
                </c:pt>
                <c:pt idx="11">
                  <c:v>1071</c:v>
                </c:pt>
                <c:pt idx="12">
                  <c:v>890</c:v>
                </c:pt>
                <c:pt idx="13">
                  <c:v>626</c:v>
                </c:pt>
                <c:pt idx="14">
                  <c:v>441</c:v>
                </c:pt>
                <c:pt idx="15">
                  <c:v>160</c:v>
                </c:pt>
                <c:pt idx="16">
                  <c:v>87</c:v>
                </c:pt>
                <c:pt idx="17">
                  <c:v>15</c:v>
                </c:pt>
                <c:pt idx="18">
                  <c:v>36</c:v>
                </c:pt>
                <c:pt idx="19">
                  <c:v>0</c:v>
                </c:pt>
              </c:numCache>
            </c:numRef>
          </c:val>
        </c:ser>
        <c:marker val="1"/>
        <c:axId val="142218752"/>
        <c:axId val="140991872"/>
      </c:lineChart>
      <c:dateAx>
        <c:axId val="140971392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140989952"/>
        <c:crosses val="autoZero"/>
        <c:auto val="1"/>
        <c:lblOffset val="100"/>
        <c:baseTimeUnit val="months"/>
      </c:dateAx>
      <c:valAx>
        <c:axId val="1409899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Therms/month</a:t>
                </a:r>
              </a:p>
            </c:rich>
          </c:tx>
        </c:title>
        <c:numFmt formatCode="0.00" sourceLinked="1"/>
        <c:tickLblPos val="nextTo"/>
        <c:crossAx val="140971392"/>
        <c:crosses val="autoZero"/>
        <c:crossBetween val="between"/>
      </c:valAx>
      <c:valAx>
        <c:axId val="14099187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142218752"/>
        <c:crosses val="max"/>
        <c:crossBetween val="between"/>
      </c:valAx>
      <c:dateAx>
        <c:axId val="142218752"/>
        <c:scaling>
          <c:orientation val="minMax"/>
        </c:scaling>
        <c:delete val="1"/>
        <c:axPos val="b"/>
        <c:numFmt formatCode="mmm-yy" sourceLinked="1"/>
        <c:tickLblPos val="none"/>
        <c:crossAx val="140991872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9083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Lancaster Single</a:t>
            </a:r>
            <a:r>
              <a:rPr lang="en-US" sz="1200" baseline="0"/>
              <a:t> Family Electrical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445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Elec!$A$14:$A$32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Elec!$D$14:$D$32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281</c:v>
                </c:pt>
                <c:pt idx="8">
                  <c:v>544</c:v>
                </c:pt>
                <c:pt idx="9">
                  <c:v>502</c:v>
                </c:pt>
                <c:pt idx="10">
                  <c:v>511</c:v>
                </c:pt>
                <c:pt idx="11">
                  <c:v>696</c:v>
                </c:pt>
                <c:pt idx="12">
                  <c:v>726</c:v>
                </c:pt>
                <c:pt idx="13">
                  <c:v>735</c:v>
                </c:pt>
                <c:pt idx="14">
                  <c:v>449.83299999999997</c:v>
                </c:pt>
                <c:pt idx="15">
                  <c:v>610.92200000000003</c:v>
                </c:pt>
                <c:pt idx="16">
                  <c:v>475.82799999999997</c:v>
                </c:pt>
                <c:pt idx="17">
                  <c:v>495.60500000000002</c:v>
                </c:pt>
                <c:pt idx="18">
                  <c:v>648.14800000000002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PV Production (kWh)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Elec!$A$14:$A$32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Elec!$E$14:$E$32</c:f>
              <c:numCache>
                <c:formatCode>General</c:formatCode>
                <c:ptCount val="19"/>
                <c:pt idx="14">
                  <c:v>-131.833</c:v>
                </c:pt>
                <c:pt idx="15">
                  <c:v>-553.92200000000003</c:v>
                </c:pt>
                <c:pt idx="16">
                  <c:v>-395.82799999999997</c:v>
                </c:pt>
                <c:pt idx="17">
                  <c:v>-487.60500000000002</c:v>
                </c:pt>
                <c:pt idx="18">
                  <c:v>-515.14800000000002</c:v>
                </c:pt>
              </c:numCache>
            </c:numRef>
          </c:val>
        </c:ser>
        <c:gapWidth val="202"/>
        <c:overlap val="100"/>
        <c:axId val="157696000"/>
        <c:axId val="157707648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Elec!$A$14:$A$19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Elec!$F$14:$F$32</c:f>
              <c:numCache>
                <c:formatCode>General</c:formatCode>
                <c:ptCount val="19"/>
                <c:pt idx="0">
                  <c:v>1309</c:v>
                </c:pt>
                <c:pt idx="1">
                  <c:v>1080</c:v>
                </c:pt>
                <c:pt idx="2">
                  <c:v>883</c:v>
                </c:pt>
                <c:pt idx="3">
                  <c:v>471</c:v>
                </c:pt>
                <c:pt idx="4">
                  <c:v>189</c:v>
                </c:pt>
                <c:pt idx="5">
                  <c:v>69</c:v>
                </c:pt>
                <c:pt idx="6">
                  <c:v>16</c:v>
                </c:pt>
                <c:pt idx="7">
                  <c:v>34</c:v>
                </c:pt>
                <c:pt idx="8">
                  <c:v>87</c:v>
                </c:pt>
                <c:pt idx="9">
                  <c:v>429</c:v>
                </c:pt>
                <c:pt idx="10">
                  <c:v>610</c:v>
                </c:pt>
                <c:pt idx="11">
                  <c:v>906</c:v>
                </c:pt>
                <c:pt idx="12">
                  <c:v>1071</c:v>
                </c:pt>
                <c:pt idx="13">
                  <c:v>890</c:v>
                </c:pt>
                <c:pt idx="14">
                  <c:v>626</c:v>
                </c:pt>
                <c:pt idx="15">
                  <c:v>441</c:v>
                </c:pt>
                <c:pt idx="16">
                  <c:v>160</c:v>
                </c:pt>
                <c:pt idx="17">
                  <c:v>87</c:v>
                </c:pt>
                <c:pt idx="18">
                  <c:v>15</c:v>
                </c:pt>
              </c:numCache>
            </c:numRef>
          </c:val>
        </c:ser>
        <c:marker val="1"/>
        <c:axId val="157696000"/>
        <c:axId val="157707648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Elec!$A$14:$A$19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Elec!$G$14:$G$32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86</c:v>
                </c:pt>
                <c:pt idx="5">
                  <c:v>157</c:v>
                </c:pt>
                <c:pt idx="6">
                  <c:v>329</c:v>
                </c:pt>
                <c:pt idx="7">
                  <c:v>215</c:v>
                </c:pt>
                <c:pt idx="8">
                  <c:v>115</c:v>
                </c:pt>
                <c:pt idx="9">
                  <c:v>17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27</c:v>
                </c:pt>
                <c:pt idx="16">
                  <c:v>104</c:v>
                </c:pt>
                <c:pt idx="17">
                  <c:v>162</c:v>
                </c:pt>
                <c:pt idx="18">
                  <c:v>333</c:v>
                </c:pt>
              </c:numCache>
            </c:numRef>
          </c:val>
        </c:ser>
        <c:marker val="1"/>
        <c:axId val="157713920"/>
        <c:axId val="157710976"/>
      </c:lineChart>
      <c:dateAx>
        <c:axId val="157696000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157707648"/>
        <c:crosses val="autoZero"/>
        <c:auto val="1"/>
        <c:lblOffset val="100"/>
        <c:baseTimeUnit val="months"/>
      </c:dateAx>
      <c:valAx>
        <c:axId val="1577076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0" sourceLinked="1"/>
        <c:tickLblPos val="nextTo"/>
        <c:crossAx val="157696000"/>
        <c:crosses val="autoZero"/>
        <c:crossBetween val="between"/>
        <c:majorUnit val="200"/>
      </c:valAx>
      <c:valAx>
        <c:axId val="157710976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57713920"/>
        <c:crosses val="max"/>
        <c:crossBetween val="between"/>
        <c:majorUnit val="20"/>
      </c:valAx>
      <c:dateAx>
        <c:axId val="157713920"/>
        <c:scaling>
          <c:orientation val="minMax"/>
        </c:scaling>
        <c:delete val="1"/>
        <c:axPos val="b"/>
        <c:numFmt formatCode="mmm-yy" sourceLinked="1"/>
        <c:tickLblPos val="none"/>
        <c:crossAx val="15771097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53"/>
          <c:y val="0.82399778974995941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32174103237107"/>
          <c:y val="6.6470669494486559E-2"/>
          <c:w val="0.75841207349081363"/>
          <c:h val="0.73070346082900661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Use'!$J$26:$J$31</c:f>
              <c:numCache>
                <c:formatCode>mmm-yy</c:formatCode>
                <c:ptCount val="6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</c:numCache>
            </c:numRef>
          </c:cat>
          <c:val>
            <c:numRef>
              <c:f>'Energy Use'!$AD$26:$AD$31</c:f>
              <c:numCache>
                <c:formatCode>0.00</c:formatCode>
                <c:ptCount val="6"/>
                <c:pt idx="0">
                  <c:v>10.367873700000001</c:v>
                </c:pt>
                <c:pt idx="1">
                  <c:v>6.5936352968599987</c:v>
                </c:pt>
                <c:pt idx="2">
                  <c:v>8.9534564652399986</c:v>
                </c:pt>
                <c:pt idx="3">
                  <c:v>7.5181632197599999</c:v>
                </c:pt>
                <c:pt idx="4">
                  <c:v>7.5342095490999998</c:v>
                </c:pt>
                <c:pt idx="5">
                  <c:v>9.0637112741599992</c:v>
                </c:pt>
              </c:numCache>
            </c:numRef>
          </c:val>
        </c:ser>
        <c:ser>
          <c:idx val="3"/>
          <c:order val="3"/>
          <c:tx>
            <c:v>Source MMBtu w PV credit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'Energy Use'!$AC$26:$AC$31</c:f>
              <c:numCache>
                <c:formatCode>0.00</c:formatCode>
                <c:ptCount val="6"/>
                <c:pt idx="0">
                  <c:v>10.367873700000001</c:v>
                </c:pt>
                <c:pt idx="1">
                  <c:v>5.5407615889999997</c:v>
                </c:pt>
                <c:pt idx="2">
                  <c:v>4.5296027260000002</c:v>
                </c:pt>
                <c:pt idx="3">
                  <c:v>4.3569145640000002</c:v>
                </c:pt>
                <c:pt idx="4">
                  <c:v>3.6399912250000002</c:v>
                </c:pt>
                <c:pt idx="5">
                  <c:v>4.9495229839999997</c:v>
                </c:pt>
              </c:numCache>
            </c:numRef>
          </c:val>
        </c:ser>
        <c:axId val="157779072"/>
        <c:axId val="157781376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HDD!$B$26:$B$31</c:f>
              <c:numCache>
                <c:formatCode>General</c:formatCode>
                <c:ptCount val="6"/>
                <c:pt idx="0">
                  <c:v>890</c:v>
                </c:pt>
                <c:pt idx="1">
                  <c:v>626</c:v>
                </c:pt>
                <c:pt idx="2">
                  <c:v>441</c:v>
                </c:pt>
                <c:pt idx="3">
                  <c:v>160</c:v>
                </c:pt>
                <c:pt idx="4">
                  <c:v>87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CDD!$B$26:$B$31</c:f>
              <c:numCache>
                <c:formatCode>General</c:formatCode>
                <c:ptCount val="6"/>
                <c:pt idx="0">
                  <c:v>0</c:v>
                </c:pt>
                <c:pt idx="1">
                  <c:v>22</c:v>
                </c:pt>
                <c:pt idx="2">
                  <c:v>27</c:v>
                </c:pt>
                <c:pt idx="3">
                  <c:v>104</c:v>
                </c:pt>
                <c:pt idx="4">
                  <c:v>162</c:v>
                </c:pt>
                <c:pt idx="5">
                  <c:v>333</c:v>
                </c:pt>
              </c:numCache>
            </c:numRef>
          </c:val>
        </c:ser>
        <c:marker val="1"/>
        <c:axId val="158312704"/>
        <c:axId val="158296704"/>
      </c:lineChart>
      <c:dateAx>
        <c:axId val="157779072"/>
        <c:scaling>
          <c:orientation val="minMax"/>
        </c:scaling>
        <c:axPos val="b"/>
        <c:numFmt formatCode="mmm-yy" sourceLinked="1"/>
        <c:tickLblPos val="nextTo"/>
        <c:crossAx val="157781376"/>
        <c:crosses val="autoZero"/>
        <c:auto val="1"/>
        <c:lblOffset val="100"/>
      </c:dateAx>
      <c:valAx>
        <c:axId val="157781376"/>
        <c:scaling>
          <c:orientation val="minMax"/>
        </c:scaling>
        <c:axPos val="l"/>
        <c:majorGridlines/>
        <c:numFmt formatCode="0" sourceLinked="0"/>
        <c:tickLblPos val="nextTo"/>
        <c:crossAx val="157779072"/>
        <c:crosses val="autoZero"/>
        <c:crossBetween val="between"/>
      </c:valAx>
      <c:valAx>
        <c:axId val="158296704"/>
        <c:scaling>
          <c:orientation val="minMax"/>
        </c:scaling>
        <c:axPos val="r"/>
        <c:numFmt formatCode="General" sourceLinked="1"/>
        <c:tickLblPos val="nextTo"/>
        <c:crossAx val="158312704"/>
        <c:crosses val="max"/>
        <c:crossBetween val="between"/>
        <c:majorUnit val="200"/>
      </c:valAx>
      <c:catAx>
        <c:axId val="158312704"/>
        <c:scaling>
          <c:orientation val="minMax"/>
        </c:scaling>
        <c:delete val="1"/>
        <c:axPos val="b"/>
        <c:tickLblPos val="none"/>
        <c:crossAx val="1582967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Electricity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'Weather Lin Regr Analysis'!$G$15:$G$20</c:f>
              <c:numCache>
                <c:formatCode>General</c:formatCode>
                <c:ptCount val="6"/>
                <c:pt idx="0">
                  <c:v>890</c:v>
                </c:pt>
                <c:pt idx="1">
                  <c:v>626</c:v>
                </c:pt>
                <c:pt idx="2">
                  <c:v>441</c:v>
                </c:pt>
                <c:pt idx="3">
                  <c:v>160</c:v>
                </c:pt>
                <c:pt idx="4">
                  <c:v>87</c:v>
                </c:pt>
                <c:pt idx="5">
                  <c:v>15</c:v>
                </c:pt>
              </c:numCache>
            </c:numRef>
          </c:xVal>
          <c:yVal>
            <c:numRef>
              <c:f>'Weather Lin Regr Analysis'!$D$15:$D$20</c:f>
              <c:numCache>
                <c:formatCode>0.00</c:formatCode>
                <c:ptCount val="6"/>
                <c:pt idx="0">
                  <c:v>735</c:v>
                </c:pt>
                <c:pt idx="1">
                  <c:v>449.83299999999997</c:v>
                </c:pt>
                <c:pt idx="2">
                  <c:v>610.92200000000003</c:v>
                </c:pt>
                <c:pt idx="3">
                  <c:v>475.82799999999997</c:v>
                </c:pt>
                <c:pt idx="4">
                  <c:v>495.60500000000002</c:v>
                </c:pt>
                <c:pt idx="5">
                  <c:v>648.14800000000002</c:v>
                </c:pt>
              </c:numCache>
            </c:numRef>
          </c:yVal>
        </c:ser>
        <c:axId val="164727808"/>
        <c:axId val="173416832"/>
      </c:scatterChart>
      <c:valAx>
        <c:axId val="164727808"/>
        <c:scaling>
          <c:orientation val="minMax"/>
        </c:scaling>
        <c:axPos val="b"/>
        <c:numFmt formatCode="General" sourceLinked="1"/>
        <c:tickLblPos val="nextTo"/>
        <c:crossAx val="173416832"/>
        <c:crosses val="autoZero"/>
        <c:crossBetween val="midCat"/>
      </c:valAx>
      <c:valAx>
        <c:axId val="173416832"/>
        <c:scaling>
          <c:orientation val="minMax"/>
        </c:scaling>
        <c:axPos val="l"/>
        <c:majorGridlines/>
        <c:numFmt formatCode="0.00" sourceLinked="1"/>
        <c:tickLblPos val="nextTo"/>
        <c:crossAx val="1647278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175260</xdr:rowOff>
    </xdr:from>
    <xdr:to>
      <xdr:col>15</xdr:col>
      <xdr:colOff>213360</xdr:colOff>
      <xdr:row>26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29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41</xdr:row>
      <xdr:rowOff>57150</xdr:rowOff>
    </xdr:from>
    <xdr:to>
      <xdr:col>18</xdr:col>
      <xdr:colOff>304800</xdr:colOff>
      <xdr:row>57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2.18723E-7</cdr:x>
      <cdr:y>0</cdr:y>
    </cdr:from>
    <cdr:to>
      <cdr:x>0.05833</cdr:x>
      <cdr:y>0.69659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38211" y="938212"/>
          <a:ext cx="2143124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</a:t>
          </a:r>
          <a:r>
            <a:rPr lang="en-US" sz="1000" b="1" baseline="0"/>
            <a:t> Energy MMBtu (monthly)</a:t>
          </a:r>
          <a:endParaRPr lang="en-US" sz="1000" b="1"/>
        </a:p>
      </cdr:txBody>
    </cdr:sp>
  </cdr:relSizeAnchor>
  <cdr:relSizeAnchor xmlns:cdr="http://schemas.openxmlformats.org/drawingml/2006/chartDrawing">
    <cdr:from>
      <cdr:x>0.93958</cdr:x>
      <cdr:y>0</cdr:y>
    </cdr:from>
    <cdr:to>
      <cdr:x>0.99792</cdr:x>
      <cdr:y>0.6192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3476625" y="819135"/>
          <a:ext cx="1905000" cy="266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 &amp; CDD (65F)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21</xdr:row>
      <xdr:rowOff>114300</xdr:rowOff>
    </xdr:from>
    <xdr:to>
      <xdr:col>8</xdr:col>
      <xdr:colOff>533400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37"/>
  <sheetViews>
    <sheetView topLeftCell="A7" workbookViewId="0">
      <selection activeCell="T36" sqref="T36"/>
    </sheetView>
  </sheetViews>
  <sheetFormatPr defaultRowHeight="15"/>
  <cols>
    <col min="1" max="16384" width="9.140625" style="8"/>
  </cols>
  <sheetData>
    <row r="2" spans="1:14">
      <c r="B2" s="8" t="s">
        <v>37</v>
      </c>
      <c r="E2" s="10"/>
    </row>
    <row r="3" spans="1:14">
      <c r="B3" s="8" t="s">
        <v>38</v>
      </c>
    </row>
    <row r="5" spans="1:14">
      <c r="B5" s="8" t="s">
        <v>39</v>
      </c>
      <c r="J5" s="70"/>
      <c r="K5" s="70"/>
    </row>
    <row r="6" spans="1:14">
      <c r="A6" s="32" t="s">
        <v>49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</row>
    <row r="7" spans="1:14">
      <c r="A7" s="40"/>
      <c r="B7" s="19" t="s">
        <v>47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36"/>
    </row>
    <row r="8" spans="1:14">
      <c r="A8" s="40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36"/>
    </row>
    <row r="9" spans="1:14">
      <c r="A9" s="40"/>
      <c r="B9" s="19">
        <v>5648</v>
      </c>
      <c r="C9" s="19" t="s">
        <v>63</v>
      </c>
      <c r="D9" s="19"/>
      <c r="E9" s="19" t="s">
        <v>48</v>
      </c>
      <c r="F9" s="19"/>
      <c r="G9" s="19"/>
      <c r="H9" s="19"/>
      <c r="I9" s="19"/>
      <c r="J9" s="19"/>
      <c r="K9" s="19"/>
      <c r="L9" s="19"/>
      <c r="M9" s="19"/>
      <c r="N9" s="36"/>
    </row>
    <row r="10" spans="1:14">
      <c r="A10" s="40"/>
      <c r="B10" s="19"/>
      <c r="C10" s="19"/>
      <c r="D10" s="19"/>
      <c r="E10" s="19" t="s">
        <v>67</v>
      </c>
      <c r="F10" s="19"/>
      <c r="G10" s="19"/>
      <c r="H10" s="19"/>
      <c r="I10" s="19"/>
      <c r="J10" s="19"/>
      <c r="K10" s="19"/>
      <c r="L10" s="19"/>
      <c r="M10" s="19"/>
      <c r="N10" s="36"/>
    </row>
    <row r="11" spans="1:14">
      <c r="A11" s="40"/>
      <c r="B11" s="19">
        <v>738.2</v>
      </c>
      <c r="C11" s="19" t="s">
        <v>64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6"/>
    </row>
    <row r="12" spans="1:14">
      <c r="A12" s="4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36"/>
    </row>
    <row r="13" spans="1:14">
      <c r="A13" s="35" t="s">
        <v>50</v>
      </c>
      <c r="B13" s="19" t="s">
        <v>51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36"/>
    </row>
    <row r="14" spans="1:14">
      <c r="A14" s="3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36"/>
    </row>
    <row r="15" spans="1:14">
      <c r="A15" s="35"/>
      <c r="B15" s="19">
        <v>6250</v>
      </c>
      <c r="C15" s="19" t="s">
        <v>63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36"/>
    </row>
    <row r="16" spans="1:14">
      <c r="A16" s="35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6"/>
    </row>
    <row r="17" spans="1:21">
      <c r="A17" s="37"/>
      <c r="B17" s="38">
        <v>1086</v>
      </c>
      <c r="C17" s="38" t="s">
        <v>64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</row>
    <row r="22" spans="1:21">
      <c r="A22" s="41"/>
      <c r="B22" s="33"/>
      <c r="C22" s="33"/>
      <c r="D22" s="33"/>
      <c r="E22" s="33"/>
      <c r="F22" s="42"/>
      <c r="G22" s="33"/>
      <c r="H22" s="33"/>
      <c r="I22" s="33" t="s">
        <v>52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/>
    </row>
    <row r="23" spans="1:21">
      <c r="A23" s="35"/>
      <c r="B23" s="19"/>
      <c r="C23" s="19" t="s">
        <v>26</v>
      </c>
      <c r="D23" s="19"/>
      <c r="E23" s="27">
        <f>1/E25</f>
        <v>292.99736302373282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36"/>
    </row>
    <row r="24" spans="1:21">
      <c r="A24" s="35"/>
      <c r="B24" s="19"/>
      <c r="C24" s="19" t="s">
        <v>23</v>
      </c>
      <c r="D24" s="19"/>
      <c r="E24" s="43">
        <f>100000/1000000</f>
        <v>0.1</v>
      </c>
      <c r="F24" s="19"/>
      <c r="G24" s="19"/>
      <c r="H24" s="19"/>
      <c r="I24" s="19" t="s">
        <v>62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36"/>
    </row>
    <row r="25" spans="1:21">
      <c r="A25" s="35"/>
      <c r="B25" s="19"/>
      <c r="C25" s="19" t="s">
        <v>22</v>
      </c>
      <c r="D25" s="19"/>
      <c r="E25" s="19">
        <f>3413/1000000</f>
        <v>3.4129999999999998E-3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36"/>
    </row>
    <row r="26" spans="1:21">
      <c r="A26" s="35"/>
      <c r="B26" s="19"/>
      <c r="C26" s="19" t="s">
        <v>53</v>
      </c>
      <c r="D26" s="19"/>
      <c r="E26" s="19">
        <f>138.6905/1000</f>
        <v>0.13869049999999999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36"/>
    </row>
    <row r="27" spans="1:21">
      <c r="A27" s="35"/>
      <c r="B27" s="19" t="s">
        <v>54</v>
      </c>
      <c r="C27" s="19"/>
      <c r="D27" s="19"/>
      <c r="E27" s="19">
        <f>7.75*40/1000</f>
        <v>0.31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36"/>
    </row>
    <row r="28" spans="1:21">
      <c r="A28" s="35"/>
      <c r="B28" s="19" t="s">
        <v>25</v>
      </c>
      <c r="C28" s="19"/>
      <c r="D28" s="19"/>
      <c r="E28" s="19">
        <v>3.34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36"/>
    </row>
    <row r="29" spans="1:21">
      <c r="A29" s="35"/>
      <c r="B29" s="19" t="s">
        <v>24</v>
      </c>
      <c r="C29" s="19"/>
      <c r="D29" s="19"/>
      <c r="E29" s="19">
        <v>1.0469999999999999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36"/>
    </row>
    <row r="30" spans="1:21">
      <c r="A30" s="35"/>
      <c r="B30" s="19" t="s">
        <v>55</v>
      </c>
      <c r="C30" s="19"/>
      <c r="D30" s="19"/>
      <c r="E30" s="19">
        <v>1.01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36"/>
    </row>
    <row r="31" spans="1:21">
      <c r="A31" s="35"/>
      <c r="B31" s="19" t="s">
        <v>56</v>
      </c>
      <c r="C31" s="19"/>
      <c r="D31" s="19"/>
      <c r="E31" s="19">
        <v>1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36"/>
    </row>
    <row r="32" spans="1:21">
      <c r="A32" s="35"/>
      <c r="B32" s="19"/>
      <c r="C32" s="19"/>
      <c r="D32" s="19"/>
      <c r="E32" s="19"/>
      <c r="F32" s="19"/>
      <c r="G32" s="19"/>
      <c r="H32" s="19"/>
      <c r="I32" s="19"/>
      <c r="J32" s="71" t="s">
        <v>2</v>
      </c>
      <c r="K32" s="71"/>
      <c r="L32" s="19"/>
      <c r="M32" s="19"/>
      <c r="N32" s="19"/>
      <c r="O32" s="19"/>
      <c r="P32" s="19"/>
      <c r="Q32" s="19"/>
      <c r="R32" s="19"/>
      <c r="S32" s="19"/>
      <c r="T32" s="19"/>
      <c r="U32" s="36"/>
    </row>
    <row r="33" spans="1:21">
      <c r="A33" s="35"/>
      <c r="B33" s="19"/>
      <c r="C33" s="19"/>
      <c r="D33" s="19"/>
      <c r="E33" s="19"/>
      <c r="F33" s="19"/>
      <c r="G33" s="19"/>
      <c r="H33" s="19"/>
      <c r="I33" s="19"/>
      <c r="J33" s="19" t="s">
        <v>30</v>
      </c>
      <c r="K33" s="19" t="s">
        <v>31</v>
      </c>
      <c r="L33" s="19"/>
      <c r="M33" s="19" t="s">
        <v>30</v>
      </c>
      <c r="N33" s="19" t="s">
        <v>57</v>
      </c>
      <c r="O33" s="19"/>
      <c r="P33" s="19" t="s">
        <v>29</v>
      </c>
      <c r="Q33" s="19"/>
      <c r="R33" s="19"/>
      <c r="S33" s="19" t="s">
        <v>32</v>
      </c>
      <c r="T33" s="19"/>
      <c r="U33" s="36"/>
    </row>
    <row r="34" spans="1:21">
      <c r="A34" s="35" t="s">
        <v>58</v>
      </c>
      <c r="B34" s="19"/>
      <c r="C34" s="19" t="s">
        <v>59</v>
      </c>
      <c r="D34" s="19" t="s">
        <v>19</v>
      </c>
      <c r="E34" s="19" t="s">
        <v>20</v>
      </c>
      <c r="F34" s="19"/>
      <c r="G34" s="19" t="s">
        <v>18</v>
      </c>
      <c r="H34" s="19" t="s">
        <v>21</v>
      </c>
      <c r="I34" s="19"/>
      <c r="J34" s="15" t="s">
        <v>60</v>
      </c>
      <c r="K34" s="19" t="s">
        <v>60</v>
      </c>
      <c r="L34" s="19"/>
      <c r="M34" s="19" t="s">
        <v>61</v>
      </c>
      <c r="N34" s="19" t="s">
        <v>61</v>
      </c>
      <c r="O34" s="19"/>
      <c r="P34" s="19" t="s">
        <v>30</v>
      </c>
      <c r="Q34" s="19" t="s">
        <v>31</v>
      </c>
      <c r="R34" s="19"/>
      <c r="S34" s="19" t="s">
        <v>30</v>
      </c>
      <c r="T34" s="19" t="s">
        <v>31</v>
      </c>
      <c r="U34" s="36"/>
    </row>
    <row r="35" spans="1:21">
      <c r="A35" s="3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36"/>
    </row>
    <row r="36" spans="1:21">
      <c r="A36" s="35" t="s">
        <v>65</v>
      </c>
      <c r="B36" s="44"/>
      <c r="C36" s="16">
        <f>B11</f>
        <v>738.2</v>
      </c>
      <c r="D36" s="45">
        <f>C36*E$26</f>
        <v>102.38132710000001</v>
      </c>
      <c r="E36" s="27">
        <f>D36*E$30</f>
        <v>103.405140371</v>
      </c>
      <c r="F36" s="19"/>
      <c r="G36" s="27">
        <f>D36*E$23</f>
        <v>29997.458863170235</v>
      </c>
      <c r="H36" s="27">
        <f>E36*E$23</f>
        <v>30297.433451801939</v>
      </c>
      <c r="I36" s="27"/>
      <c r="J36" s="15">
        <f>B9</f>
        <v>5648</v>
      </c>
      <c r="K36" s="27">
        <f>J36*E$28</f>
        <v>18864.32</v>
      </c>
      <c r="L36" s="19"/>
      <c r="M36" s="27">
        <f>J36*E$25</f>
        <v>19.276623999999998</v>
      </c>
      <c r="N36" s="27">
        <f>K36*E$25</f>
        <v>64.383924159999992</v>
      </c>
      <c r="O36" s="19"/>
      <c r="P36" s="27">
        <f>G36+J36</f>
        <v>35645.458863170235</v>
      </c>
      <c r="Q36" s="27">
        <f>H36+K36</f>
        <v>49161.753451801938</v>
      </c>
      <c r="R36" s="19"/>
      <c r="S36" s="27">
        <f>D36+M36</f>
        <v>121.65795110000001</v>
      </c>
      <c r="T36" s="27">
        <f>E36+N36</f>
        <v>167.78906453100001</v>
      </c>
      <c r="U36" s="28"/>
    </row>
    <row r="37" spans="1:21">
      <c r="A37" s="37" t="s">
        <v>66</v>
      </c>
      <c r="B37" s="38"/>
      <c r="C37" s="38">
        <f>B17</f>
        <v>1086</v>
      </c>
      <c r="D37" s="45">
        <f>C37*E$26</f>
        <v>150.61788300000001</v>
      </c>
      <c r="E37" s="27">
        <f>D37*E$30</f>
        <v>152.12406183000002</v>
      </c>
      <c r="F37" s="19"/>
      <c r="G37" s="27">
        <f>D37*E$23</f>
        <v>44130.642543217116</v>
      </c>
      <c r="H37" s="27">
        <f>E37*E$23</f>
        <v>44571.948968649289</v>
      </c>
      <c r="I37" s="38"/>
      <c r="J37" s="38">
        <f>B15</f>
        <v>6250</v>
      </c>
      <c r="K37" s="27">
        <f>J37*E$28</f>
        <v>20875</v>
      </c>
      <c r="L37" s="19"/>
      <c r="M37" s="27">
        <f>J37*E$25</f>
        <v>21.331249999999997</v>
      </c>
      <c r="N37" s="27">
        <f>K37*E$25</f>
        <v>71.246375</v>
      </c>
      <c r="O37" s="19"/>
      <c r="P37" s="27">
        <f>G37+J37</f>
        <v>50380.642543217116</v>
      </c>
      <c r="Q37" s="27">
        <f>H37+K37</f>
        <v>65446.948968649289</v>
      </c>
      <c r="R37" s="19"/>
      <c r="S37" s="27">
        <f>D37+M37</f>
        <v>171.94913300000002</v>
      </c>
      <c r="T37" s="27">
        <f>E37+N37</f>
        <v>223.37043683000002</v>
      </c>
      <c r="U37" s="39"/>
    </row>
  </sheetData>
  <mergeCells count="2">
    <mergeCell ref="J5:K5"/>
    <mergeCell ref="J32:K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V37"/>
  <sheetViews>
    <sheetView workbookViewId="0">
      <selection activeCell="V13" sqref="V13"/>
    </sheetView>
  </sheetViews>
  <sheetFormatPr defaultRowHeight="15"/>
  <cols>
    <col min="4" max="4" width="10.42578125" bestFit="1" customWidth="1"/>
    <col min="15" max="15" width="10.5703125" customWidth="1"/>
    <col min="16" max="16" width="10.28515625" customWidth="1"/>
    <col min="19" max="19" width="10.7109375" customWidth="1"/>
    <col min="20" max="20" width="10.85546875" customWidth="1"/>
  </cols>
  <sheetData>
    <row r="2" spans="1:22">
      <c r="B2" s="8" t="s">
        <v>43</v>
      </c>
      <c r="D2" s="8"/>
      <c r="E2" s="10"/>
    </row>
    <row r="3" spans="1:22">
      <c r="B3" s="8" t="s">
        <v>38</v>
      </c>
    </row>
    <row r="4" spans="1:22">
      <c r="D4" s="8" t="s">
        <v>42</v>
      </c>
    </row>
    <row r="5" spans="1:22">
      <c r="B5" s="8"/>
      <c r="C5" t="s">
        <v>0</v>
      </c>
      <c r="D5" t="s">
        <v>1</v>
      </c>
      <c r="S5" s="21">
        <v>40788</v>
      </c>
      <c r="T5" s="21">
        <v>40819</v>
      </c>
      <c r="U5" s="22">
        <v>31</v>
      </c>
      <c r="V5" s="22">
        <v>13</v>
      </c>
    </row>
    <row r="6" spans="1:22" s="8" customFormat="1">
      <c r="A6" s="1">
        <v>40390</v>
      </c>
      <c r="C6" s="12"/>
      <c r="D6" s="2">
        <f>HDD!B9</f>
        <v>98</v>
      </c>
      <c r="S6" s="21">
        <v>40819</v>
      </c>
      <c r="T6" s="21">
        <v>40850</v>
      </c>
      <c r="U6" s="22">
        <v>31</v>
      </c>
      <c r="V6" s="22">
        <v>21</v>
      </c>
    </row>
    <row r="7" spans="1:22" s="8" customFormat="1">
      <c r="A7" s="1">
        <v>40421</v>
      </c>
      <c r="C7" s="12"/>
      <c r="D7" s="2">
        <f>HDD!B10</f>
        <v>407</v>
      </c>
      <c r="S7" s="21">
        <v>40850</v>
      </c>
      <c r="T7" s="21">
        <v>40879</v>
      </c>
      <c r="U7" s="22">
        <v>29</v>
      </c>
      <c r="V7" s="22">
        <v>10</v>
      </c>
    </row>
    <row r="8" spans="1:22" s="8" customFormat="1">
      <c r="A8" s="1">
        <v>40451</v>
      </c>
      <c r="C8" s="12"/>
      <c r="D8" s="2">
        <f>HDD!B11</f>
        <v>708</v>
      </c>
      <c r="S8" s="21">
        <v>40879</v>
      </c>
      <c r="T8" s="21">
        <v>40913</v>
      </c>
      <c r="U8" s="22">
        <v>34</v>
      </c>
      <c r="V8" s="22">
        <v>19</v>
      </c>
    </row>
    <row r="9" spans="1:22" s="8" customFormat="1">
      <c r="A9" s="1">
        <v>40482</v>
      </c>
      <c r="C9" s="12"/>
      <c r="D9" s="2">
        <f>HDD!B12</f>
        <v>1130</v>
      </c>
      <c r="S9" s="21">
        <v>40913</v>
      </c>
      <c r="T9" s="21">
        <v>40942</v>
      </c>
      <c r="U9" s="22">
        <v>29</v>
      </c>
      <c r="V9" s="22">
        <v>16</v>
      </c>
    </row>
    <row r="10" spans="1:22" s="8" customFormat="1">
      <c r="A10" s="1">
        <v>40512</v>
      </c>
      <c r="C10" s="12"/>
      <c r="D10" s="2">
        <f>HDD!B13</f>
        <v>1309</v>
      </c>
      <c r="S10" s="21">
        <v>40942</v>
      </c>
      <c r="T10" s="21">
        <v>40973</v>
      </c>
      <c r="U10" s="22">
        <v>31</v>
      </c>
      <c r="V10" s="22">
        <v>19</v>
      </c>
    </row>
    <row r="11" spans="1:22">
      <c r="A11" s="1">
        <v>40543</v>
      </c>
      <c r="B11" s="15"/>
      <c r="C11" s="12"/>
      <c r="D11" s="2">
        <f>HDD!B14</f>
        <v>1080</v>
      </c>
      <c r="S11" s="21">
        <v>40973</v>
      </c>
      <c r="T11" s="21">
        <v>41001</v>
      </c>
      <c r="U11" s="22">
        <v>28</v>
      </c>
      <c r="V11" s="22">
        <v>14</v>
      </c>
    </row>
    <row r="12" spans="1:22">
      <c r="A12" s="1">
        <v>40574</v>
      </c>
      <c r="B12" s="15"/>
      <c r="C12" s="12"/>
      <c r="D12" s="2">
        <f>HDD!B15</f>
        <v>883</v>
      </c>
      <c r="S12" s="21">
        <v>41001</v>
      </c>
      <c r="T12" s="21">
        <v>41031</v>
      </c>
      <c r="U12" s="22">
        <v>30</v>
      </c>
      <c r="V12" s="22">
        <v>19</v>
      </c>
    </row>
    <row r="13" spans="1:22">
      <c r="A13" s="1">
        <v>40602</v>
      </c>
      <c r="B13" s="15"/>
      <c r="C13" s="12"/>
      <c r="D13" s="2">
        <f>HDD!B16</f>
        <v>471</v>
      </c>
      <c r="S13" s="21">
        <v>41031</v>
      </c>
      <c r="T13" s="21">
        <v>41066</v>
      </c>
      <c r="U13" s="22">
        <v>35</v>
      </c>
      <c r="V13" s="22">
        <v>20</v>
      </c>
    </row>
    <row r="14" spans="1:22">
      <c r="A14" s="1">
        <v>40633</v>
      </c>
      <c r="B14" s="15"/>
      <c r="C14" s="12"/>
      <c r="D14" s="2">
        <f>HDD!B17</f>
        <v>189</v>
      </c>
      <c r="S14" s="21">
        <v>41066</v>
      </c>
      <c r="T14" s="21">
        <v>41093</v>
      </c>
      <c r="U14" s="22">
        <v>27</v>
      </c>
      <c r="V14" s="22">
        <v>18</v>
      </c>
    </row>
    <row r="15" spans="1:22">
      <c r="A15" s="1">
        <v>40663</v>
      </c>
      <c r="B15" s="15"/>
      <c r="C15" s="12"/>
      <c r="D15" s="2">
        <f>HDD!B18</f>
        <v>69</v>
      </c>
      <c r="S15" s="21">
        <v>41093</v>
      </c>
      <c r="T15" s="21">
        <v>41127</v>
      </c>
      <c r="U15" s="22">
        <v>34</v>
      </c>
      <c r="V15" s="22">
        <v>16</v>
      </c>
    </row>
    <row r="16" spans="1:22">
      <c r="A16" s="1">
        <v>40694</v>
      </c>
      <c r="B16" s="15"/>
      <c r="C16" s="12"/>
      <c r="D16" s="2">
        <f>HDD!B19</f>
        <v>16</v>
      </c>
    </row>
    <row r="17" spans="1:4">
      <c r="A17" s="1">
        <v>40724</v>
      </c>
      <c r="B17" s="15"/>
      <c r="C17" s="12"/>
      <c r="D17" s="2">
        <f>HDD!B20</f>
        <v>34</v>
      </c>
    </row>
    <row r="18" spans="1:4">
      <c r="A18" s="1">
        <v>40755</v>
      </c>
      <c r="B18" s="15"/>
      <c r="C18" s="12"/>
      <c r="D18" s="2">
        <f>HDD!B21</f>
        <v>87</v>
      </c>
    </row>
    <row r="19" spans="1:4">
      <c r="A19" s="1">
        <v>40786</v>
      </c>
      <c r="B19" s="15"/>
      <c r="C19" s="12"/>
      <c r="D19" s="2">
        <f>HDD!B22</f>
        <v>429</v>
      </c>
    </row>
    <row r="20" spans="1:4">
      <c r="A20" s="1">
        <v>40816</v>
      </c>
      <c r="B20" s="15"/>
      <c r="C20" s="12">
        <v>13</v>
      </c>
      <c r="D20" s="2">
        <f>HDD!B23</f>
        <v>610</v>
      </c>
    </row>
    <row r="21" spans="1:4">
      <c r="A21" s="1">
        <v>40847</v>
      </c>
      <c r="B21" s="15"/>
      <c r="C21" s="12">
        <v>21</v>
      </c>
      <c r="D21" s="2">
        <f>HDD!B24</f>
        <v>906</v>
      </c>
    </row>
    <row r="22" spans="1:4">
      <c r="A22" s="1">
        <v>40877</v>
      </c>
      <c r="B22" s="15"/>
      <c r="C22" s="12">
        <v>10</v>
      </c>
      <c r="D22" s="2">
        <f>HDD!B25</f>
        <v>1071</v>
      </c>
    </row>
    <row r="23" spans="1:4">
      <c r="A23" s="1">
        <v>40908</v>
      </c>
      <c r="B23" s="15"/>
      <c r="C23" s="12">
        <v>19</v>
      </c>
      <c r="D23" s="2">
        <f>HDD!B26</f>
        <v>890</v>
      </c>
    </row>
    <row r="24" spans="1:4">
      <c r="A24" s="1">
        <v>40939</v>
      </c>
      <c r="B24" s="15"/>
      <c r="C24" s="12">
        <v>16</v>
      </c>
      <c r="D24" s="2">
        <f>HDD!B27</f>
        <v>626</v>
      </c>
    </row>
    <row r="25" spans="1:4">
      <c r="A25" s="1">
        <v>40968</v>
      </c>
      <c r="B25" s="15"/>
      <c r="C25" s="12">
        <v>19</v>
      </c>
      <c r="D25" s="2">
        <f>HDD!B28</f>
        <v>441</v>
      </c>
    </row>
    <row r="26" spans="1:4">
      <c r="A26" s="1">
        <v>40999</v>
      </c>
      <c r="B26" s="15"/>
      <c r="C26" s="12">
        <v>14</v>
      </c>
      <c r="D26" s="2">
        <f>HDD!B29</f>
        <v>160</v>
      </c>
    </row>
    <row r="27" spans="1:4">
      <c r="A27" s="1">
        <v>41029</v>
      </c>
      <c r="B27" s="15"/>
      <c r="C27" s="12">
        <v>19</v>
      </c>
      <c r="D27" s="2">
        <f>HDD!B30</f>
        <v>87</v>
      </c>
    </row>
    <row r="28" spans="1:4">
      <c r="A28" s="1">
        <v>41060</v>
      </c>
      <c r="B28" s="15"/>
      <c r="C28" s="12">
        <v>20</v>
      </c>
      <c r="D28" s="2">
        <f>HDD!B31</f>
        <v>15</v>
      </c>
    </row>
    <row r="29" spans="1:4">
      <c r="A29" s="1">
        <v>41090</v>
      </c>
      <c r="B29" s="15"/>
      <c r="C29" s="12">
        <v>18</v>
      </c>
      <c r="D29" s="2">
        <f>HDD!B32</f>
        <v>36</v>
      </c>
    </row>
    <row r="30" spans="1:4">
      <c r="A30" s="1">
        <v>41121</v>
      </c>
      <c r="B30" s="15"/>
      <c r="C30" s="12">
        <v>16</v>
      </c>
      <c r="D30" s="2">
        <f>HDD!B33</f>
        <v>0</v>
      </c>
    </row>
    <row r="31" spans="1:4">
      <c r="A31" s="1">
        <v>41152</v>
      </c>
      <c r="B31" s="15"/>
      <c r="C31" s="12"/>
      <c r="D31" s="2">
        <f>HDD!B34</f>
        <v>0</v>
      </c>
    </row>
    <row r="32" spans="1:4">
      <c r="B32" s="15"/>
      <c r="C32" s="12">
        <f t="shared" ref="C32" si="0">E53</f>
        <v>0</v>
      </c>
      <c r="D32" s="2">
        <f>HDD!B35</f>
        <v>0</v>
      </c>
    </row>
    <row r="36" spans="1:1">
      <c r="A36" s="1"/>
    </row>
    <row r="37" spans="1:1">
      <c r="A3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4"/>
  <sheetViews>
    <sheetView topLeftCell="A3" workbookViewId="0">
      <selection activeCell="H25" sqref="H25"/>
    </sheetView>
  </sheetViews>
  <sheetFormatPr defaultRowHeight="15"/>
  <cols>
    <col min="1" max="1" width="10.42578125" bestFit="1" customWidth="1"/>
    <col min="2" max="2" width="9.85546875" customWidth="1"/>
    <col min="4" max="4" width="15.28515625" customWidth="1"/>
    <col min="5" max="5" width="11.42578125" customWidth="1"/>
    <col min="20" max="20" width="11.140625" customWidth="1"/>
    <col min="21" max="21" width="11" customWidth="1"/>
  </cols>
  <sheetData>
    <row r="1" spans="1:22">
      <c r="B1" s="8"/>
    </row>
    <row r="3" spans="1:22">
      <c r="B3" s="8" t="s">
        <v>44</v>
      </c>
    </row>
    <row r="4" spans="1:22">
      <c r="B4" s="70" t="s">
        <v>2</v>
      </c>
      <c r="C4" s="70"/>
      <c r="E4" t="s">
        <v>3</v>
      </c>
    </row>
    <row r="5" spans="1:22">
      <c r="B5" s="8" t="s">
        <v>34</v>
      </c>
      <c r="C5" s="8"/>
      <c r="D5" t="s">
        <v>4</v>
      </c>
      <c r="E5" t="s">
        <v>5</v>
      </c>
      <c r="F5" t="s">
        <v>1</v>
      </c>
      <c r="G5" t="s">
        <v>6</v>
      </c>
      <c r="T5" s="21">
        <v>40781</v>
      </c>
      <c r="U5" s="21">
        <v>40792</v>
      </c>
      <c r="V5" s="22">
        <v>281</v>
      </c>
    </row>
    <row r="6" spans="1:22" s="8" customFormat="1">
      <c r="A6" s="8" t="s">
        <v>15</v>
      </c>
      <c r="B6" s="8" t="s">
        <v>70</v>
      </c>
      <c r="T6" s="21">
        <v>40792</v>
      </c>
      <c r="U6" s="21">
        <v>40819</v>
      </c>
      <c r="V6" s="22">
        <v>544</v>
      </c>
    </row>
    <row r="7" spans="1:22" s="8" customFormat="1">
      <c r="B7" s="8" t="s">
        <v>68</v>
      </c>
      <c r="C7" s="8" t="s">
        <v>69</v>
      </c>
      <c r="T7" s="21">
        <v>40819</v>
      </c>
      <c r="U7" s="21">
        <v>40847</v>
      </c>
      <c r="V7" s="22">
        <v>502</v>
      </c>
    </row>
    <row r="8" spans="1:22" s="8" customFormat="1">
      <c r="A8" s="1">
        <v>40360</v>
      </c>
      <c r="B8" s="17"/>
      <c r="D8" s="18">
        <f t="shared" ref="D8:D28" si="0">SUM(B8+C8-E8)</f>
        <v>0</v>
      </c>
      <c r="T8" s="21">
        <v>40847</v>
      </c>
      <c r="U8" s="21">
        <v>40879</v>
      </c>
      <c r="V8" s="22">
        <v>511</v>
      </c>
    </row>
    <row r="9" spans="1:22" s="8" customFormat="1">
      <c r="A9" s="1">
        <v>40391</v>
      </c>
      <c r="B9" s="17"/>
      <c r="D9" s="18">
        <f t="shared" si="0"/>
        <v>0</v>
      </c>
      <c r="F9" s="8">
        <f>HDD!B8</f>
        <v>33</v>
      </c>
      <c r="G9" s="8">
        <f>CDD!B8</f>
        <v>257</v>
      </c>
      <c r="T9" s="21">
        <v>40879</v>
      </c>
      <c r="U9" s="21">
        <v>40913</v>
      </c>
      <c r="V9" s="22">
        <v>696</v>
      </c>
    </row>
    <row r="10" spans="1:22" s="8" customFormat="1">
      <c r="A10" s="1">
        <v>40422</v>
      </c>
      <c r="B10" s="17"/>
      <c r="D10" s="18">
        <f t="shared" si="0"/>
        <v>0</v>
      </c>
      <c r="F10" s="8">
        <f>HDD!B9</f>
        <v>98</v>
      </c>
      <c r="G10" s="8">
        <f>CDD!B9</f>
        <v>146</v>
      </c>
      <c r="T10" s="21">
        <v>40913</v>
      </c>
      <c r="U10" s="21">
        <v>40942</v>
      </c>
      <c r="V10" s="22">
        <v>726</v>
      </c>
    </row>
    <row r="11" spans="1:22" s="8" customFormat="1">
      <c r="A11" s="1">
        <v>40452</v>
      </c>
      <c r="B11" s="17"/>
      <c r="D11" s="18">
        <f t="shared" si="0"/>
        <v>0</v>
      </c>
      <c r="F11" s="8">
        <f>HDD!B10</f>
        <v>407</v>
      </c>
      <c r="G11" s="8">
        <f>CDD!B10</f>
        <v>16</v>
      </c>
      <c r="T11" s="21">
        <v>40942</v>
      </c>
      <c r="U11" s="21">
        <v>40973</v>
      </c>
      <c r="V11" s="22">
        <v>735</v>
      </c>
    </row>
    <row r="12" spans="1:22" s="8" customFormat="1">
      <c r="A12" s="1">
        <v>40483</v>
      </c>
      <c r="B12" s="17"/>
      <c r="D12" s="18">
        <f t="shared" si="0"/>
        <v>0</v>
      </c>
      <c r="F12" s="8">
        <f>HDD!B11</f>
        <v>708</v>
      </c>
      <c r="G12" s="8">
        <f>CDD!B11</f>
        <v>0</v>
      </c>
      <c r="T12" s="21">
        <v>40973</v>
      </c>
      <c r="U12" s="21">
        <v>41001</v>
      </c>
      <c r="V12" s="22">
        <v>318</v>
      </c>
    </row>
    <row r="13" spans="1:22">
      <c r="A13" s="1">
        <v>40513</v>
      </c>
      <c r="B13" s="17"/>
      <c r="D13" s="18">
        <f t="shared" si="0"/>
        <v>0</v>
      </c>
      <c r="F13" s="8">
        <f>HDD!B12</f>
        <v>1130</v>
      </c>
      <c r="G13" s="8">
        <f>CDD!B12</f>
        <v>0</v>
      </c>
      <c r="T13" s="21">
        <v>41001</v>
      </c>
      <c r="U13" s="21">
        <v>41031</v>
      </c>
      <c r="V13" s="22">
        <v>57</v>
      </c>
    </row>
    <row r="14" spans="1:22">
      <c r="A14" s="1">
        <v>40544</v>
      </c>
      <c r="B14" s="17"/>
      <c r="C14" s="15"/>
      <c r="D14" s="18">
        <f t="shared" si="0"/>
        <v>0</v>
      </c>
      <c r="E14" s="15"/>
      <c r="F14" s="8">
        <f>HDD!B13</f>
        <v>1309</v>
      </c>
      <c r="G14" s="8">
        <f>CDD!B13</f>
        <v>0</v>
      </c>
      <c r="T14" s="21">
        <v>41031</v>
      </c>
      <c r="U14" s="21">
        <v>41066</v>
      </c>
      <c r="V14" s="22">
        <v>80</v>
      </c>
    </row>
    <row r="15" spans="1:22">
      <c r="A15" s="1">
        <v>40575</v>
      </c>
      <c r="B15" s="17"/>
      <c r="C15" s="15"/>
      <c r="D15" s="18">
        <f t="shared" si="0"/>
        <v>0</v>
      </c>
      <c r="E15" s="15"/>
      <c r="F15" s="8">
        <f>HDD!B14</f>
        <v>1080</v>
      </c>
      <c r="G15" s="8">
        <f>CDD!B14</f>
        <v>0</v>
      </c>
      <c r="T15" s="21">
        <v>41066</v>
      </c>
      <c r="U15" s="21">
        <v>41093</v>
      </c>
      <c r="V15" s="22">
        <v>8</v>
      </c>
    </row>
    <row r="16" spans="1:22">
      <c r="A16" s="1">
        <v>40603</v>
      </c>
      <c r="B16" s="17"/>
      <c r="C16" s="15"/>
      <c r="D16" s="18">
        <f t="shared" si="0"/>
        <v>0</v>
      </c>
      <c r="E16" s="15"/>
      <c r="F16" s="8">
        <f>HDD!B15</f>
        <v>883</v>
      </c>
      <c r="G16" s="8">
        <f>CDD!B15</f>
        <v>0</v>
      </c>
      <c r="H16" s="8" t="s">
        <v>36</v>
      </c>
      <c r="T16" s="21">
        <v>41093</v>
      </c>
      <c r="U16" s="21">
        <v>41127</v>
      </c>
      <c r="V16" s="22">
        <v>133</v>
      </c>
    </row>
    <row r="17" spans="1:8">
      <c r="A17" s="1">
        <v>40634</v>
      </c>
      <c r="B17" s="17"/>
      <c r="C17" s="15"/>
      <c r="D17" s="18">
        <f t="shared" si="0"/>
        <v>0</v>
      </c>
      <c r="E17" s="15"/>
      <c r="F17" s="8">
        <f>HDD!B16</f>
        <v>471</v>
      </c>
      <c r="G17" s="8">
        <f>CDD!B16</f>
        <v>13</v>
      </c>
    </row>
    <row r="18" spans="1:8">
      <c r="A18" s="1">
        <v>40664</v>
      </c>
      <c r="B18" s="17"/>
      <c r="C18" s="15"/>
      <c r="D18" s="18">
        <f t="shared" si="0"/>
        <v>0</v>
      </c>
      <c r="E18" s="15"/>
      <c r="F18" s="8">
        <f>HDD!B17</f>
        <v>189</v>
      </c>
      <c r="G18" s="8">
        <f>CDD!B17</f>
        <v>86</v>
      </c>
    </row>
    <row r="19" spans="1:8">
      <c r="A19" s="1">
        <v>40695</v>
      </c>
      <c r="B19" s="17"/>
      <c r="C19" s="15"/>
      <c r="D19" s="18">
        <f t="shared" si="0"/>
        <v>0</v>
      </c>
      <c r="E19" s="15"/>
      <c r="F19" s="8">
        <f>HDD!B18</f>
        <v>69</v>
      </c>
      <c r="G19" s="8">
        <f>CDD!B18</f>
        <v>157</v>
      </c>
    </row>
    <row r="20" spans="1:8">
      <c r="A20" s="1">
        <v>40725</v>
      </c>
      <c r="B20" s="17"/>
      <c r="C20" s="15"/>
      <c r="D20" s="18">
        <f t="shared" si="0"/>
        <v>0</v>
      </c>
      <c r="E20" s="15"/>
      <c r="F20" s="8">
        <f>HDD!B19</f>
        <v>16</v>
      </c>
      <c r="G20" s="8">
        <f>CDD!B19</f>
        <v>329</v>
      </c>
    </row>
    <row r="21" spans="1:8">
      <c r="A21" s="1">
        <v>40756</v>
      </c>
      <c r="B21" s="17">
        <v>281</v>
      </c>
      <c r="C21" s="15"/>
      <c r="D21" s="18">
        <f t="shared" si="0"/>
        <v>281</v>
      </c>
      <c r="E21" s="15"/>
      <c r="F21" s="8">
        <f>HDD!B20</f>
        <v>34</v>
      </c>
      <c r="G21" s="8">
        <f>CDD!B20</f>
        <v>215</v>
      </c>
    </row>
    <row r="22" spans="1:8">
      <c r="A22" s="1">
        <v>40787</v>
      </c>
      <c r="B22" s="17">
        <v>544</v>
      </c>
      <c r="C22" s="15"/>
      <c r="D22" s="18">
        <f t="shared" si="0"/>
        <v>544</v>
      </c>
      <c r="E22" s="15"/>
      <c r="F22" s="8">
        <f>HDD!B21</f>
        <v>87</v>
      </c>
      <c r="G22" s="8">
        <f>CDD!B21</f>
        <v>115</v>
      </c>
    </row>
    <row r="23" spans="1:8">
      <c r="A23" s="1">
        <v>40817</v>
      </c>
      <c r="B23" s="17">
        <v>502</v>
      </c>
      <c r="C23" s="15"/>
      <c r="D23" s="18">
        <f t="shared" si="0"/>
        <v>502</v>
      </c>
      <c r="E23" s="15"/>
      <c r="F23" s="8">
        <f>HDD!B22</f>
        <v>429</v>
      </c>
      <c r="G23" s="8">
        <f>CDD!B22</f>
        <v>17</v>
      </c>
    </row>
    <row r="24" spans="1:8">
      <c r="A24" s="1">
        <v>40848</v>
      </c>
      <c r="B24" s="17">
        <v>511</v>
      </c>
      <c r="C24" s="15"/>
      <c r="D24" s="18">
        <f t="shared" si="0"/>
        <v>511</v>
      </c>
      <c r="E24" s="15"/>
      <c r="F24" s="8">
        <f>HDD!B23</f>
        <v>610</v>
      </c>
      <c r="G24" s="8">
        <f>CDD!B23</f>
        <v>1</v>
      </c>
    </row>
    <row r="25" spans="1:8">
      <c r="A25" s="1">
        <v>40878</v>
      </c>
      <c r="B25" s="17">
        <v>696</v>
      </c>
      <c r="C25" s="15"/>
      <c r="D25" s="18">
        <f t="shared" si="0"/>
        <v>696</v>
      </c>
      <c r="E25" s="15"/>
      <c r="F25" s="8">
        <f>HDD!B24</f>
        <v>906</v>
      </c>
      <c r="G25" s="8">
        <f>CDD!B24</f>
        <v>0</v>
      </c>
      <c r="H25" s="8" t="s">
        <v>33</v>
      </c>
    </row>
    <row r="26" spans="1:8">
      <c r="A26" s="1">
        <v>40909</v>
      </c>
      <c r="B26" s="17">
        <v>726</v>
      </c>
      <c r="C26" s="15"/>
      <c r="D26" s="18">
        <f t="shared" si="0"/>
        <v>726</v>
      </c>
      <c r="E26" s="15"/>
      <c r="F26" s="8">
        <f>HDD!B25</f>
        <v>1071</v>
      </c>
      <c r="G26" s="8">
        <f>CDD!B25</f>
        <v>0</v>
      </c>
    </row>
    <row r="27" spans="1:8">
      <c r="A27" s="1">
        <v>40940</v>
      </c>
      <c r="B27" s="17">
        <v>735</v>
      </c>
      <c r="C27" s="15"/>
      <c r="D27" s="18">
        <f t="shared" si="0"/>
        <v>735</v>
      </c>
      <c r="E27" s="15"/>
      <c r="F27" s="8">
        <f>HDD!B26</f>
        <v>890</v>
      </c>
      <c r="G27" s="8">
        <f>CDD!B26</f>
        <v>0</v>
      </c>
    </row>
    <row r="28" spans="1:8">
      <c r="A28" s="1">
        <v>40969</v>
      </c>
      <c r="B28" s="17">
        <v>318</v>
      </c>
      <c r="C28" s="15"/>
      <c r="D28" s="18">
        <f t="shared" si="0"/>
        <v>449.83299999999997</v>
      </c>
      <c r="E28" s="15">
        <v>-131.833</v>
      </c>
      <c r="F28" s="8">
        <f>HDD!B27</f>
        <v>626</v>
      </c>
      <c r="G28" s="8">
        <f>CDD!B27</f>
        <v>22</v>
      </c>
    </row>
    <row r="29" spans="1:8">
      <c r="A29" s="1">
        <v>41000</v>
      </c>
      <c r="B29" s="17">
        <v>57</v>
      </c>
      <c r="C29" s="15"/>
      <c r="D29" s="18">
        <f>SUM(B29+C29-E29)</f>
        <v>610.92200000000003</v>
      </c>
      <c r="E29" s="15">
        <v>-553.92200000000003</v>
      </c>
      <c r="F29" s="8">
        <f>HDD!B28</f>
        <v>441</v>
      </c>
      <c r="G29" s="8">
        <f>CDD!B28</f>
        <v>27</v>
      </c>
    </row>
    <row r="30" spans="1:8">
      <c r="A30" s="1">
        <v>41030</v>
      </c>
      <c r="B30" s="17">
        <v>80</v>
      </c>
      <c r="C30" s="15"/>
      <c r="D30" s="18">
        <f t="shared" ref="D30:D33" si="1">SUM(B30+C30-E30)</f>
        <v>475.82799999999997</v>
      </c>
      <c r="E30" s="15">
        <v>-395.82799999999997</v>
      </c>
      <c r="F30" s="8">
        <f>HDD!B29</f>
        <v>160</v>
      </c>
      <c r="G30" s="8">
        <f>CDD!B29</f>
        <v>104</v>
      </c>
    </row>
    <row r="31" spans="1:8">
      <c r="A31" s="1">
        <v>41061</v>
      </c>
      <c r="B31" s="17">
        <v>8</v>
      </c>
      <c r="C31" s="15"/>
      <c r="D31" s="18">
        <f t="shared" si="1"/>
        <v>495.60500000000002</v>
      </c>
      <c r="E31" s="15">
        <v>-487.60500000000002</v>
      </c>
      <c r="F31" s="8">
        <f>HDD!B30</f>
        <v>87</v>
      </c>
      <c r="G31" s="8">
        <f>CDD!B30</f>
        <v>162</v>
      </c>
      <c r="H31" s="8"/>
    </row>
    <row r="32" spans="1:8">
      <c r="A32" s="1">
        <v>41091</v>
      </c>
      <c r="B32" s="17">
        <v>133</v>
      </c>
      <c r="C32" s="3"/>
      <c r="D32" s="18">
        <f t="shared" si="1"/>
        <v>648.14800000000002</v>
      </c>
      <c r="E32" s="15">
        <v>-515.14800000000002</v>
      </c>
      <c r="F32" s="8">
        <f>HDD!B31</f>
        <v>15</v>
      </c>
      <c r="G32" s="8">
        <f>CDD!B31</f>
        <v>333</v>
      </c>
    </row>
    <row r="33" spans="1:9">
      <c r="A33" s="1">
        <v>41122</v>
      </c>
      <c r="B33" s="19"/>
      <c r="C33" s="3"/>
      <c r="D33" s="18">
        <f t="shared" si="1"/>
        <v>547.91899999999998</v>
      </c>
      <c r="E33" s="15">
        <v>-547.91899999999998</v>
      </c>
      <c r="F33" s="8">
        <f>HDD!B32</f>
        <v>36</v>
      </c>
      <c r="G33" s="8">
        <f>CDD!B32</f>
        <v>266</v>
      </c>
    </row>
    <row r="38" spans="1:9">
      <c r="G38" s="12"/>
      <c r="I38" s="8"/>
    </row>
    <row r="39" spans="1:9">
      <c r="I39" s="8"/>
    </row>
    <row r="40" spans="1:9">
      <c r="I40" s="8"/>
    </row>
    <row r="41" spans="1:9">
      <c r="I41" s="8"/>
    </row>
    <row r="42" spans="1:9">
      <c r="I42" s="8"/>
    </row>
    <row r="43" spans="1:9">
      <c r="I43" s="8"/>
    </row>
    <row r="44" spans="1:9">
      <c r="I44" s="8"/>
    </row>
    <row r="45" spans="1:9">
      <c r="I45" s="8"/>
    </row>
    <row r="46" spans="1:9">
      <c r="I46" s="8"/>
    </row>
    <row r="47" spans="1:9">
      <c r="I47" s="8"/>
    </row>
    <row r="48" spans="1:9">
      <c r="I48" s="8"/>
    </row>
    <row r="49" spans="9:9">
      <c r="I49" s="8"/>
    </row>
    <row r="50" spans="9:9">
      <c r="I50" s="8"/>
    </row>
    <row r="51" spans="9:9">
      <c r="I51" s="8"/>
    </row>
    <row r="52" spans="9:9">
      <c r="I52" s="8"/>
    </row>
    <row r="53" spans="9:9">
      <c r="I53" s="8"/>
    </row>
    <row r="54" spans="9:9">
      <c r="I54" s="8"/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2"/>
  <sheetViews>
    <sheetView tabSelected="1" topLeftCell="A7" workbookViewId="0">
      <selection activeCell="P33" sqref="P33"/>
    </sheetView>
  </sheetViews>
  <sheetFormatPr defaultRowHeight="15"/>
  <cols>
    <col min="8" max="9" width="9.140625" style="8"/>
    <col min="16" max="16" width="9.140625" style="8"/>
    <col min="19" max="19" width="9.140625" style="8"/>
    <col min="21" max="21" width="9.140625" style="8"/>
    <col min="27" max="27" width="9.140625" style="8"/>
  </cols>
  <sheetData>
    <row r="1" spans="2:30">
      <c r="C1" s="8" t="s">
        <v>26</v>
      </c>
      <c r="E1" s="12">
        <f>1/E3</f>
        <v>292.99736302373282</v>
      </c>
    </row>
    <row r="2" spans="2:30">
      <c r="C2" s="8" t="s">
        <v>23</v>
      </c>
      <c r="E2" s="11">
        <f>100000/1000000</f>
        <v>0.1</v>
      </c>
    </row>
    <row r="3" spans="2:30">
      <c r="C3" s="8" t="s">
        <v>22</v>
      </c>
      <c r="E3">
        <f>3413/1000000</f>
        <v>3.4129999999999998E-3</v>
      </c>
    </row>
    <row r="4" spans="2:30">
      <c r="B4" s="8" t="s">
        <v>25</v>
      </c>
      <c r="E4">
        <v>3.34</v>
      </c>
    </row>
    <row r="5" spans="2:30">
      <c r="B5" s="8" t="s">
        <v>24</v>
      </c>
      <c r="E5">
        <v>1.0469999999999999</v>
      </c>
    </row>
    <row r="6" spans="2:30">
      <c r="Y6" s="8" t="s">
        <v>29</v>
      </c>
      <c r="AB6" s="8" t="s">
        <v>32</v>
      </c>
    </row>
    <row r="7" spans="2:30">
      <c r="J7" s="8"/>
      <c r="K7" s="70" t="s">
        <v>2</v>
      </c>
      <c r="L7" s="70"/>
      <c r="M7" s="8" t="s">
        <v>27</v>
      </c>
      <c r="N7" s="8"/>
      <c r="O7" s="8"/>
      <c r="Q7" s="8" t="s">
        <v>28</v>
      </c>
      <c r="S7" s="8" t="s">
        <v>19</v>
      </c>
      <c r="T7" s="8" t="s">
        <v>20</v>
      </c>
    </row>
    <row r="8" spans="2:30" s="73" customFormat="1" ht="60">
      <c r="C8" s="73" t="s">
        <v>0</v>
      </c>
      <c r="D8" s="73" t="s">
        <v>19</v>
      </c>
      <c r="E8" s="73" t="s">
        <v>20</v>
      </c>
      <c r="G8" s="73" t="s">
        <v>18</v>
      </c>
      <c r="H8" s="73" t="s">
        <v>21</v>
      </c>
      <c r="K8" s="13" t="str">
        <f>Elec!B5</f>
        <v>House</v>
      </c>
      <c r="L8" s="14" t="s">
        <v>69</v>
      </c>
      <c r="M8" s="73" t="s">
        <v>4</v>
      </c>
      <c r="N8" s="73" t="s">
        <v>5</v>
      </c>
      <c r="P8" s="73" t="s">
        <v>98</v>
      </c>
      <c r="R8" s="73" t="s">
        <v>72</v>
      </c>
      <c r="V8" s="73" t="s">
        <v>1</v>
      </c>
      <c r="W8" s="73" t="s">
        <v>6</v>
      </c>
      <c r="Y8" s="73" t="s">
        <v>30</v>
      </c>
      <c r="Z8" s="73" t="s">
        <v>31</v>
      </c>
      <c r="AA8" s="73" t="s">
        <v>72</v>
      </c>
      <c r="AB8" s="73" t="s">
        <v>30</v>
      </c>
      <c r="AC8" s="73" t="s">
        <v>31</v>
      </c>
      <c r="AD8" s="73" t="s">
        <v>72</v>
      </c>
    </row>
    <row r="9" spans="2:30" s="8" customFormat="1">
      <c r="O9" s="8" t="s">
        <v>71</v>
      </c>
      <c r="U9" s="8" t="s">
        <v>97</v>
      </c>
    </row>
    <row r="10" spans="2:30" s="8" customFormat="1">
      <c r="B10" s="1">
        <v>40452</v>
      </c>
      <c r="C10" s="20">
        <f>Gas!C9</f>
        <v>0</v>
      </c>
      <c r="D10" s="45">
        <f t="shared" ref="D10:D12" si="0">C10*E$2</f>
        <v>0</v>
      </c>
      <c r="E10" s="12">
        <f t="shared" ref="E10:E12" si="1">D10*E$5</f>
        <v>0</v>
      </c>
      <c r="G10" s="12">
        <f t="shared" ref="G10:G12" si="2">D10*E$1</f>
        <v>0</v>
      </c>
      <c r="H10" s="12">
        <f t="shared" ref="H10:H12" si="3">E10*E$1</f>
        <v>0</v>
      </c>
      <c r="J10" s="1">
        <v>40452</v>
      </c>
      <c r="K10" s="45">
        <f>Elec!B11</f>
        <v>0</v>
      </c>
      <c r="L10" s="15">
        <f>Elec!C8</f>
        <v>0</v>
      </c>
      <c r="M10" s="12">
        <f>SUM(K10+L10+N10)</f>
        <v>0</v>
      </c>
      <c r="N10" s="15">
        <f>-(Elec!E8)</f>
        <v>0</v>
      </c>
      <c r="O10" s="8">
        <f>N10+L10</f>
        <v>0</v>
      </c>
      <c r="Q10" s="12">
        <f>((M10-O10)*E$4)+O10</f>
        <v>0</v>
      </c>
      <c r="R10" s="8">
        <f>M10*E$4</f>
        <v>0</v>
      </c>
      <c r="S10" s="12">
        <f t="shared" ref="S10:S12" si="4">M10*E$3</f>
        <v>0</v>
      </c>
      <c r="T10" s="12">
        <f t="shared" ref="T10:T12" si="5">((M10-N10)*E$4+N10)*E$3</f>
        <v>0</v>
      </c>
      <c r="U10" s="12">
        <f>R10*$E$3</f>
        <v>0</v>
      </c>
      <c r="V10" s="8">
        <f>HDD!B11</f>
        <v>708</v>
      </c>
      <c r="W10" s="8">
        <f>CDD!B11</f>
        <v>0</v>
      </c>
      <c r="Y10" s="12">
        <f t="shared" ref="Y10:Y12" si="6">G10+M10</f>
        <v>0</v>
      </c>
      <c r="Z10" s="12">
        <f t="shared" ref="Z10:Z12" si="7">H10+Q10</f>
        <v>0</v>
      </c>
      <c r="AA10" s="12">
        <f>H10+R10</f>
        <v>0</v>
      </c>
      <c r="AB10" s="12">
        <f t="shared" ref="AB10:AB12" si="8">D10+S10</f>
        <v>0</v>
      </c>
      <c r="AC10" s="12">
        <f t="shared" ref="AC10:AC12" si="9">E10+T10</f>
        <v>0</v>
      </c>
      <c r="AD10" s="12">
        <f>E10+R10*E$3</f>
        <v>0</v>
      </c>
    </row>
    <row r="11" spans="2:30" s="8" customFormat="1">
      <c r="B11" s="1">
        <v>40483</v>
      </c>
      <c r="C11" s="20">
        <f>Gas!C10</f>
        <v>0</v>
      </c>
      <c r="D11" s="45">
        <f t="shared" si="0"/>
        <v>0</v>
      </c>
      <c r="E11" s="12">
        <f t="shared" si="1"/>
        <v>0</v>
      </c>
      <c r="G11" s="12">
        <f t="shared" si="2"/>
        <v>0</v>
      </c>
      <c r="H11" s="12">
        <f t="shared" si="3"/>
        <v>0</v>
      </c>
      <c r="J11" s="1">
        <v>40483</v>
      </c>
      <c r="K11" s="45">
        <f>Elec!B12</f>
        <v>0</v>
      </c>
      <c r="L11" s="15">
        <f>Elec!C12</f>
        <v>0</v>
      </c>
      <c r="M11" s="12">
        <f t="shared" ref="M11:M31" si="10">SUM(K11+L11+N11)</f>
        <v>0</v>
      </c>
      <c r="N11" s="15">
        <f>-(Elec!E12)</f>
        <v>0</v>
      </c>
      <c r="O11" s="8">
        <f t="shared" ref="O11:O31" si="11">N11+L11</f>
        <v>0</v>
      </c>
      <c r="Q11" s="12">
        <f t="shared" ref="Q11:Q31" si="12">((M11-O11)*E$4)+O11</f>
        <v>0</v>
      </c>
      <c r="R11" s="8">
        <f t="shared" ref="R11:R31" si="13">M11*E$4</f>
        <v>0</v>
      </c>
      <c r="S11" s="12">
        <f t="shared" si="4"/>
        <v>0</v>
      </c>
      <c r="T11" s="12">
        <f t="shared" si="5"/>
        <v>0</v>
      </c>
      <c r="U11" s="12">
        <f t="shared" ref="U11:U31" si="14">R11*$E$3</f>
        <v>0</v>
      </c>
      <c r="V11" s="8">
        <f>HDD!B12</f>
        <v>1130</v>
      </c>
      <c r="W11" s="8">
        <f>CDD!B12</f>
        <v>0</v>
      </c>
      <c r="Y11" s="12">
        <f t="shared" si="6"/>
        <v>0</v>
      </c>
      <c r="Z11" s="12">
        <f t="shared" si="7"/>
        <v>0</v>
      </c>
      <c r="AA11" s="12">
        <f t="shared" ref="AA11:AA36" si="15">H11+R11</f>
        <v>0</v>
      </c>
      <c r="AB11" s="12">
        <f t="shared" si="8"/>
        <v>0</v>
      </c>
      <c r="AC11" s="12">
        <f t="shared" si="9"/>
        <v>0</v>
      </c>
      <c r="AD11" s="12">
        <f t="shared" ref="AD11:AD31" si="16">E11+R11*E$3</f>
        <v>0</v>
      </c>
    </row>
    <row r="12" spans="2:30">
      <c r="B12" s="1">
        <v>40513</v>
      </c>
      <c r="C12" s="20">
        <f>Gas!C11</f>
        <v>0</v>
      </c>
      <c r="D12" s="45">
        <f t="shared" si="0"/>
        <v>0</v>
      </c>
      <c r="E12" s="12">
        <f t="shared" si="1"/>
        <v>0</v>
      </c>
      <c r="G12" s="12">
        <f t="shared" si="2"/>
        <v>0</v>
      </c>
      <c r="H12" s="12">
        <f t="shared" si="3"/>
        <v>0</v>
      </c>
      <c r="J12" s="1">
        <v>40513</v>
      </c>
      <c r="K12" s="45">
        <f>Elec!B13</f>
        <v>0</v>
      </c>
      <c r="L12" s="15">
        <f>Elec!C13</f>
        <v>0</v>
      </c>
      <c r="M12" s="12">
        <f t="shared" si="10"/>
        <v>0</v>
      </c>
      <c r="N12" s="15">
        <f>-(Elec!E13)</f>
        <v>0</v>
      </c>
      <c r="O12" s="8">
        <f t="shared" si="11"/>
        <v>0</v>
      </c>
      <c r="Q12" s="12">
        <f t="shared" si="12"/>
        <v>0</v>
      </c>
      <c r="R12" s="8">
        <f t="shared" si="13"/>
        <v>0</v>
      </c>
      <c r="S12" s="12">
        <f t="shared" si="4"/>
        <v>0</v>
      </c>
      <c r="T12" s="12">
        <f t="shared" si="5"/>
        <v>0</v>
      </c>
      <c r="U12" s="12">
        <f t="shared" si="14"/>
        <v>0</v>
      </c>
      <c r="V12" s="8">
        <f>HDD!B13</f>
        <v>1309</v>
      </c>
      <c r="W12" s="8">
        <f>CDD!B13</f>
        <v>0</v>
      </c>
      <c r="X12" s="8"/>
      <c r="Y12" s="12">
        <f t="shared" si="6"/>
        <v>0</v>
      </c>
      <c r="Z12" s="12">
        <f t="shared" si="7"/>
        <v>0</v>
      </c>
      <c r="AA12" s="12">
        <f t="shared" si="15"/>
        <v>0</v>
      </c>
      <c r="AB12" s="12">
        <f t="shared" si="8"/>
        <v>0</v>
      </c>
      <c r="AC12" s="12">
        <f t="shared" si="9"/>
        <v>0</v>
      </c>
      <c r="AD12" s="12">
        <f t="shared" si="16"/>
        <v>0</v>
      </c>
    </row>
    <row r="13" spans="2:30">
      <c r="B13" s="1">
        <v>40544</v>
      </c>
      <c r="C13" s="20">
        <f>Gas!C12</f>
        <v>0</v>
      </c>
      <c r="D13" s="45">
        <f>C13*E$2</f>
        <v>0</v>
      </c>
      <c r="E13" s="12">
        <f t="shared" ref="E13:E32" si="17">D13*E$5</f>
        <v>0</v>
      </c>
      <c r="G13" s="12">
        <f t="shared" ref="G13:G31" si="18">D13*E$1</f>
        <v>0</v>
      </c>
      <c r="H13" s="12">
        <f t="shared" ref="H13:H31" si="19">E13*E$1</f>
        <v>0</v>
      </c>
      <c r="I13" s="12"/>
      <c r="J13" s="1">
        <v>40544</v>
      </c>
      <c r="K13" s="45">
        <f>Elec!B14</f>
        <v>0</v>
      </c>
      <c r="L13" s="15">
        <f>Elec!C14</f>
        <v>0</v>
      </c>
      <c r="M13" s="12">
        <f t="shared" si="10"/>
        <v>0</v>
      </c>
      <c r="N13" s="15">
        <f>-(Elec!E14)</f>
        <v>0</v>
      </c>
      <c r="O13" s="8">
        <f t="shared" si="11"/>
        <v>0</v>
      </c>
      <c r="Q13" s="12">
        <f t="shared" si="12"/>
        <v>0</v>
      </c>
      <c r="R13" s="8">
        <f t="shared" si="13"/>
        <v>0</v>
      </c>
      <c r="S13" s="12">
        <f>M13*E$3</f>
        <v>0</v>
      </c>
      <c r="T13" s="12">
        <f>((M13-N13)*E$4+N13)*E$3</f>
        <v>0</v>
      </c>
      <c r="U13" s="12">
        <f t="shared" si="14"/>
        <v>0</v>
      </c>
      <c r="V13" s="8">
        <f>HDD!B14</f>
        <v>1080</v>
      </c>
      <c r="W13" s="8">
        <f>CDD!B14</f>
        <v>0</v>
      </c>
      <c r="Y13" s="12">
        <f>G13+M13</f>
        <v>0</v>
      </c>
      <c r="Z13" s="12">
        <f>H13+Q13</f>
        <v>0</v>
      </c>
      <c r="AA13" s="12">
        <f t="shared" si="15"/>
        <v>0</v>
      </c>
      <c r="AB13" s="12">
        <f>D13+S13</f>
        <v>0</v>
      </c>
      <c r="AC13" s="12">
        <f>E13+T13</f>
        <v>0</v>
      </c>
      <c r="AD13" s="12">
        <f t="shared" si="16"/>
        <v>0</v>
      </c>
    </row>
    <row r="14" spans="2:30">
      <c r="B14" s="1">
        <v>40575</v>
      </c>
      <c r="C14" s="20">
        <f>Gas!C13</f>
        <v>0</v>
      </c>
      <c r="D14" s="45">
        <f t="shared" ref="D14:D31" si="20">C14*E$2</f>
        <v>0</v>
      </c>
      <c r="E14" s="12">
        <f t="shared" si="17"/>
        <v>0</v>
      </c>
      <c r="G14" s="12">
        <f t="shared" si="18"/>
        <v>0</v>
      </c>
      <c r="H14" s="12">
        <f t="shared" si="19"/>
        <v>0</v>
      </c>
      <c r="I14" s="12"/>
      <c r="J14" s="1">
        <v>40575</v>
      </c>
      <c r="K14" s="45">
        <f>Elec!B15</f>
        <v>0</v>
      </c>
      <c r="L14" s="15">
        <f>Elec!C15</f>
        <v>0</v>
      </c>
      <c r="M14" s="12">
        <f t="shared" si="10"/>
        <v>0</v>
      </c>
      <c r="N14" s="15">
        <f>-(Elec!E15)</f>
        <v>0</v>
      </c>
      <c r="O14" s="8">
        <f t="shared" si="11"/>
        <v>0</v>
      </c>
      <c r="Q14" s="12">
        <f t="shared" si="12"/>
        <v>0</v>
      </c>
      <c r="R14" s="8">
        <f t="shared" si="13"/>
        <v>0</v>
      </c>
      <c r="S14" s="12">
        <f t="shared" ref="S14:S31" si="21">M14*E$3</f>
        <v>0</v>
      </c>
      <c r="T14" s="12">
        <f t="shared" ref="T14:T31" si="22">((M14-N14)*E$4+N14)*E$3</f>
        <v>0</v>
      </c>
      <c r="U14" s="12">
        <f t="shared" si="14"/>
        <v>0</v>
      </c>
      <c r="V14" s="8">
        <f>HDD!B15</f>
        <v>883</v>
      </c>
      <c r="W14" s="8">
        <f>CDD!B15</f>
        <v>0</v>
      </c>
      <c r="Y14" s="12">
        <f t="shared" ref="Y14:Y31" si="23">G14+M14</f>
        <v>0</v>
      </c>
      <c r="Z14" s="12">
        <f t="shared" ref="Z14:Z31" si="24">H14+Q14</f>
        <v>0</v>
      </c>
      <c r="AA14" s="12">
        <f t="shared" si="15"/>
        <v>0</v>
      </c>
      <c r="AB14" s="12">
        <f t="shared" ref="AB14:AB32" si="25">D14+S14</f>
        <v>0</v>
      </c>
      <c r="AC14" s="12">
        <f t="shared" ref="AC14:AC31" si="26">E14+T14</f>
        <v>0</v>
      </c>
      <c r="AD14" s="12">
        <f t="shared" si="16"/>
        <v>0</v>
      </c>
    </row>
    <row r="15" spans="2:30">
      <c r="B15" s="1">
        <v>40603</v>
      </c>
      <c r="C15" s="20">
        <f>Gas!C14</f>
        <v>0</v>
      </c>
      <c r="D15" s="45">
        <f t="shared" si="20"/>
        <v>0</v>
      </c>
      <c r="E15" s="12">
        <f t="shared" si="17"/>
        <v>0</v>
      </c>
      <c r="G15" s="12">
        <f t="shared" si="18"/>
        <v>0</v>
      </c>
      <c r="H15" s="12">
        <f t="shared" si="19"/>
        <v>0</v>
      </c>
      <c r="I15" s="12"/>
      <c r="J15" s="1">
        <v>40603</v>
      </c>
      <c r="K15" s="45">
        <f>Elec!B16</f>
        <v>0</v>
      </c>
      <c r="L15" s="15">
        <f>Elec!C16</f>
        <v>0</v>
      </c>
      <c r="M15" s="12">
        <f t="shared" si="10"/>
        <v>0</v>
      </c>
      <c r="N15" s="15">
        <f>-(Elec!E16)</f>
        <v>0</v>
      </c>
      <c r="O15" s="8">
        <f t="shared" si="11"/>
        <v>0</v>
      </c>
      <c r="Q15" s="12">
        <f t="shared" si="12"/>
        <v>0</v>
      </c>
      <c r="R15" s="8">
        <f t="shared" si="13"/>
        <v>0</v>
      </c>
      <c r="S15" s="12">
        <f t="shared" si="21"/>
        <v>0</v>
      </c>
      <c r="T15" s="12">
        <f t="shared" si="22"/>
        <v>0</v>
      </c>
      <c r="U15" s="12">
        <f t="shared" si="14"/>
        <v>0</v>
      </c>
      <c r="V15" s="8">
        <f>HDD!B16</f>
        <v>471</v>
      </c>
      <c r="W15" s="8">
        <f>CDD!B16</f>
        <v>13</v>
      </c>
      <c r="Y15" s="12">
        <f t="shared" si="23"/>
        <v>0</v>
      </c>
      <c r="Z15" s="12">
        <f t="shared" si="24"/>
        <v>0</v>
      </c>
      <c r="AA15" s="12">
        <f t="shared" si="15"/>
        <v>0</v>
      </c>
      <c r="AB15" s="12">
        <f t="shared" si="25"/>
        <v>0</v>
      </c>
      <c r="AC15" s="12">
        <f t="shared" si="26"/>
        <v>0</v>
      </c>
      <c r="AD15" s="12">
        <f t="shared" si="16"/>
        <v>0</v>
      </c>
    </row>
    <row r="16" spans="2:30">
      <c r="B16" s="1">
        <v>40634</v>
      </c>
      <c r="C16" s="20">
        <f>Gas!C15</f>
        <v>0</v>
      </c>
      <c r="D16" s="45">
        <f t="shared" si="20"/>
        <v>0</v>
      </c>
      <c r="E16" s="12">
        <f t="shared" si="17"/>
        <v>0</v>
      </c>
      <c r="G16" s="12">
        <f t="shared" si="18"/>
        <v>0</v>
      </c>
      <c r="H16" s="12">
        <f t="shared" si="19"/>
        <v>0</v>
      </c>
      <c r="I16" s="12"/>
      <c r="J16" s="1">
        <v>40634</v>
      </c>
      <c r="K16" s="45">
        <f>Elec!B17</f>
        <v>0</v>
      </c>
      <c r="L16" s="15">
        <f>Elec!C17</f>
        <v>0</v>
      </c>
      <c r="M16" s="12">
        <f t="shared" si="10"/>
        <v>0</v>
      </c>
      <c r="N16" s="15">
        <f>-(Elec!E17)</f>
        <v>0</v>
      </c>
      <c r="O16" s="8">
        <f t="shared" si="11"/>
        <v>0</v>
      </c>
      <c r="Q16" s="12">
        <f t="shared" si="12"/>
        <v>0</v>
      </c>
      <c r="R16" s="8">
        <f t="shared" si="13"/>
        <v>0</v>
      </c>
      <c r="S16" s="12">
        <f t="shared" si="21"/>
        <v>0</v>
      </c>
      <c r="T16" s="12">
        <f t="shared" si="22"/>
        <v>0</v>
      </c>
      <c r="U16" s="12">
        <f t="shared" si="14"/>
        <v>0</v>
      </c>
      <c r="V16" s="8">
        <f>HDD!B17</f>
        <v>189</v>
      </c>
      <c r="W16" s="8">
        <f>CDD!B17</f>
        <v>86</v>
      </c>
      <c r="Y16" s="12">
        <f t="shared" si="23"/>
        <v>0</v>
      </c>
      <c r="Z16" s="12">
        <f t="shared" si="24"/>
        <v>0</v>
      </c>
      <c r="AA16" s="12">
        <f t="shared" si="15"/>
        <v>0</v>
      </c>
      <c r="AB16" s="12">
        <f t="shared" si="25"/>
        <v>0</v>
      </c>
      <c r="AC16" s="12">
        <f t="shared" si="26"/>
        <v>0</v>
      </c>
      <c r="AD16" s="12">
        <f t="shared" si="16"/>
        <v>0</v>
      </c>
    </row>
    <row r="17" spans="2:30">
      <c r="B17" s="1">
        <v>40664</v>
      </c>
      <c r="C17" s="20">
        <f>Gas!C16</f>
        <v>0</v>
      </c>
      <c r="D17" s="45">
        <f t="shared" si="20"/>
        <v>0</v>
      </c>
      <c r="E17" s="12">
        <f t="shared" si="17"/>
        <v>0</v>
      </c>
      <c r="G17" s="12">
        <f t="shared" si="18"/>
        <v>0</v>
      </c>
      <c r="H17" s="12">
        <f t="shared" si="19"/>
        <v>0</v>
      </c>
      <c r="I17" s="12"/>
      <c r="J17" s="1">
        <v>40664</v>
      </c>
      <c r="K17" s="45">
        <f>Elec!B18</f>
        <v>0</v>
      </c>
      <c r="L17" s="15">
        <f>Elec!C18</f>
        <v>0</v>
      </c>
      <c r="M17" s="12">
        <f t="shared" si="10"/>
        <v>0</v>
      </c>
      <c r="N17" s="15">
        <f>-(Elec!E18)</f>
        <v>0</v>
      </c>
      <c r="O17" s="8">
        <f t="shared" si="11"/>
        <v>0</v>
      </c>
      <c r="Q17" s="12">
        <f t="shared" si="12"/>
        <v>0</v>
      </c>
      <c r="R17" s="8">
        <f t="shared" si="13"/>
        <v>0</v>
      </c>
      <c r="S17" s="12">
        <f t="shared" si="21"/>
        <v>0</v>
      </c>
      <c r="T17" s="12">
        <f t="shared" si="22"/>
        <v>0</v>
      </c>
      <c r="U17" s="12">
        <f t="shared" si="14"/>
        <v>0</v>
      </c>
      <c r="V17" s="8">
        <f>HDD!B18</f>
        <v>69</v>
      </c>
      <c r="W17" s="8">
        <f>CDD!B18</f>
        <v>157</v>
      </c>
      <c r="Y17" s="12">
        <f t="shared" si="23"/>
        <v>0</v>
      </c>
      <c r="Z17" s="12">
        <f t="shared" si="24"/>
        <v>0</v>
      </c>
      <c r="AA17" s="12">
        <f t="shared" si="15"/>
        <v>0</v>
      </c>
      <c r="AB17" s="12">
        <f t="shared" si="25"/>
        <v>0</v>
      </c>
      <c r="AC17" s="12">
        <f t="shared" si="26"/>
        <v>0</v>
      </c>
      <c r="AD17" s="12">
        <f t="shared" si="16"/>
        <v>0</v>
      </c>
    </row>
    <row r="18" spans="2:30">
      <c r="B18" s="1">
        <v>40695</v>
      </c>
      <c r="C18" s="20">
        <f>Gas!C17</f>
        <v>0</v>
      </c>
      <c r="D18" s="45">
        <f t="shared" si="20"/>
        <v>0</v>
      </c>
      <c r="E18" s="12">
        <f t="shared" si="17"/>
        <v>0</v>
      </c>
      <c r="G18" s="12">
        <f t="shared" si="18"/>
        <v>0</v>
      </c>
      <c r="H18" s="12">
        <f t="shared" si="19"/>
        <v>0</v>
      </c>
      <c r="I18" s="12"/>
      <c r="J18" s="1">
        <v>40695</v>
      </c>
      <c r="K18" s="45">
        <f>Elec!B19</f>
        <v>0</v>
      </c>
      <c r="L18" s="15">
        <f>Elec!C19</f>
        <v>0</v>
      </c>
      <c r="M18" s="12">
        <f t="shared" si="10"/>
        <v>0</v>
      </c>
      <c r="N18" s="15">
        <f>-(Elec!E19)</f>
        <v>0</v>
      </c>
      <c r="O18" s="8">
        <f t="shared" si="11"/>
        <v>0</v>
      </c>
      <c r="Q18" s="12">
        <f t="shared" si="12"/>
        <v>0</v>
      </c>
      <c r="R18" s="8">
        <f t="shared" si="13"/>
        <v>0</v>
      </c>
      <c r="S18" s="12">
        <f t="shared" si="21"/>
        <v>0</v>
      </c>
      <c r="T18" s="12">
        <f t="shared" si="22"/>
        <v>0</v>
      </c>
      <c r="U18" s="12">
        <f t="shared" si="14"/>
        <v>0</v>
      </c>
      <c r="V18" s="8">
        <f>HDD!B19</f>
        <v>16</v>
      </c>
      <c r="W18" s="8">
        <f>CDD!B19</f>
        <v>329</v>
      </c>
      <c r="Y18" s="12">
        <f t="shared" si="23"/>
        <v>0</v>
      </c>
      <c r="Z18" s="12">
        <f t="shared" si="24"/>
        <v>0</v>
      </c>
      <c r="AA18" s="12">
        <f t="shared" si="15"/>
        <v>0</v>
      </c>
      <c r="AB18" s="12">
        <f t="shared" si="25"/>
        <v>0</v>
      </c>
      <c r="AC18" s="12">
        <f t="shared" si="26"/>
        <v>0</v>
      </c>
      <c r="AD18" s="12">
        <f t="shared" si="16"/>
        <v>0</v>
      </c>
    </row>
    <row r="19" spans="2:30">
      <c r="B19" s="1">
        <v>40735</v>
      </c>
      <c r="C19" s="20">
        <f>Gas!C18</f>
        <v>0</v>
      </c>
      <c r="D19" s="45">
        <f t="shared" si="20"/>
        <v>0</v>
      </c>
      <c r="E19" s="12">
        <f t="shared" si="17"/>
        <v>0</v>
      </c>
      <c r="G19" s="12">
        <f t="shared" si="18"/>
        <v>0</v>
      </c>
      <c r="H19" s="12">
        <f t="shared" si="19"/>
        <v>0</v>
      </c>
      <c r="I19" s="12"/>
      <c r="J19" s="1">
        <v>40725</v>
      </c>
      <c r="K19" s="45">
        <f>Elec!B20</f>
        <v>0</v>
      </c>
      <c r="L19" s="15">
        <f>Elec!C20</f>
        <v>0</v>
      </c>
      <c r="M19" s="12">
        <f t="shared" si="10"/>
        <v>0</v>
      </c>
      <c r="N19" s="15">
        <f>-(Elec!E20)</f>
        <v>0</v>
      </c>
      <c r="O19" s="8">
        <f t="shared" si="11"/>
        <v>0</v>
      </c>
      <c r="Q19" s="12">
        <f t="shared" si="12"/>
        <v>0</v>
      </c>
      <c r="R19" s="8">
        <f t="shared" si="13"/>
        <v>0</v>
      </c>
      <c r="S19" s="12">
        <f t="shared" si="21"/>
        <v>0</v>
      </c>
      <c r="T19" s="12">
        <f t="shared" si="22"/>
        <v>0</v>
      </c>
      <c r="U19" s="12">
        <f t="shared" si="14"/>
        <v>0</v>
      </c>
      <c r="V19" s="8">
        <f>HDD!B20</f>
        <v>34</v>
      </c>
      <c r="W19" s="8">
        <f>CDD!B20</f>
        <v>215</v>
      </c>
      <c r="Y19" s="12">
        <f t="shared" si="23"/>
        <v>0</v>
      </c>
      <c r="Z19" s="12">
        <f t="shared" si="24"/>
        <v>0</v>
      </c>
      <c r="AA19" s="12">
        <f t="shared" si="15"/>
        <v>0</v>
      </c>
      <c r="AB19" s="12">
        <f t="shared" si="25"/>
        <v>0</v>
      </c>
      <c r="AC19" s="12">
        <f t="shared" si="26"/>
        <v>0</v>
      </c>
      <c r="AD19" s="12">
        <f t="shared" si="16"/>
        <v>0</v>
      </c>
    </row>
    <row r="20" spans="2:30">
      <c r="B20" s="1">
        <v>40766</v>
      </c>
      <c r="C20" s="20">
        <f>Gas!C19</f>
        <v>0</v>
      </c>
      <c r="D20" s="45">
        <f t="shared" si="20"/>
        <v>0</v>
      </c>
      <c r="E20" s="12">
        <f t="shared" si="17"/>
        <v>0</v>
      </c>
      <c r="G20" s="12">
        <f t="shared" si="18"/>
        <v>0</v>
      </c>
      <c r="H20" s="12">
        <f t="shared" si="19"/>
        <v>0</v>
      </c>
      <c r="I20" s="12"/>
      <c r="J20" s="1">
        <v>40756</v>
      </c>
      <c r="K20" s="45">
        <f>Elec!B21</f>
        <v>281</v>
      </c>
      <c r="L20" s="15">
        <f>Elec!C21</f>
        <v>0</v>
      </c>
      <c r="M20" s="12">
        <f t="shared" si="10"/>
        <v>281</v>
      </c>
      <c r="N20" s="15">
        <f>-(Elec!E21)</f>
        <v>0</v>
      </c>
      <c r="O20" s="8">
        <f t="shared" si="11"/>
        <v>0</v>
      </c>
      <c r="Q20" s="12">
        <f t="shared" si="12"/>
        <v>938.54</v>
      </c>
      <c r="R20" s="8">
        <f t="shared" si="13"/>
        <v>938.54</v>
      </c>
      <c r="S20" s="12">
        <f t="shared" si="21"/>
        <v>0.95905299999999993</v>
      </c>
      <c r="T20" s="12">
        <f t="shared" si="22"/>
        <v>3.2032370199999995</v>
      </c>
      <c r="U20" s="12">
        <f t="shared" si="14"/>
        <v>3.2032370199999995</v>
      </c>
      <c r="V20" s="8">
        <f>HDD!B21</f>
        <v>87</v>
      </c>
      <c r="W20" s="8">
        <f>CDD!B21</f>
        <v>115</v>
      </c>
      <c r="Y20" s="12">
        <f t="shared" si="23"/>
        <v>281</v>
      </c>
      <c r="Z20" s="12">
        <f t="shared" si="24"/>
        <v>938.54</v>
      </c>
      <c r="AA20" s="12">
        <f t="shared" si="15"/>
        <v>938.54</v>
      </c>
      <c r="AB20" s="12">
        <f t="shared" si="25"/>
        <v>0.95905299999999993</v>
      </c>
      <c r="AC20" s="12">
        <f t="shared" si="26"/>
        <v>3.2032370199999995</v>
      </c>
      <c r="AD20" s="12">
        <f t="shared" si="16"/>
        <v>3.2032370199999995</v>
      </c>
    </row>
    <row r="21" spans="2:30">
      <c r="B21" s="1">
        <v>40797</v>
      </c>
      <c r="C21" s="20">
        <f>Gas!C20</f>
        <v>13</v>
      </c>
      <c r="D21" s="45">
        <f t="shared" si="20"/>
        <v>1.3</v>
      </c>
      <c r="E21" s="12">
        <f t="shared" si="17"/>
        <v>1.3611</v>
      </c>
      <c r="G21" s="12">
        <f t="shared" si="18"/>
        <v>380.8965719308527</v>
      </c>
      <c r="H21" s="12">
        <f t="shared" si="19"/>
        <v>398.79871081160275</v>
      </c>
      <c r="I21" s="12"/>
      <c r="J21" s="1">
        <v>40787</v>
      </c>
      <c r="K21" s="45">
        <f>Elec!B22</f>
        <v>544</v>
      </c>
      <c r="L21" s="15">
        <f>Elec!C22</f>
        <v>0</v>
      </c>
      <c r="M21" s="12">
        <f t="shared" si="10"/>
        <v>544</v>
      </c>
      <c r="N21" s="15">
        <f>-(Elec!E22)</f>
        <v>0</v>
      </c>
      <c r="O21" s="8">
        <f t="shared" si="11"/>
        <v>0</v>
      </c>
      <c r="Q21" s="12">
        <f t="shared" si="12"/>
        <v>1816.96</v>
      </c>
      <c r="R21" s="8">
        <f t="shared" si="13"/>
        <v>1816.96</v>
      </c>
      <c r="S21" s="12">
        <f t="shared" si="21"/>
        <v>1.8566719999999999</v>
      </c>
      <c r="T21" s="12">
        <f t="shared" si="22"/>
        <v>6.20128448</v>
      </c>
      <c r="U21" s="12">
        <f t="shared" si="14"/>
        <v>6.20128448</v>
      </c>
      <c r="V21" s="8">
        <f>HDD!B22</f>
        <v>429</v>
      </c>
      <c r="W21" s="8">
        <f>CDD!B22</f>
        <v>17</v>
      </c>
      <c r="Y21" s="23">
        <f t="shared" si="23"/>
        <v>924.8965719308527</v>
      </c>
      <c r="Z21" s="24">
        <f t="shared" si="24"/>
        <v>2215.7587108116027</v>
      </c>
      <c r="AA21" s="12">
        <f t="shared" si="15"/>
        <v>2215.7587108116027</v>
      </c>
      <c r="AB21" s="24">
        <f t="shared" si="25"/>
        <v>3.1566719999999999</v>
      </c>
      <c r="AC21" s="25">
        <f t="shared" si="26"/>
        <v>7.5623844800000004</v>
      </c>
      <c r="AD21" s="12">
        <f t="shared" si="16"/>
        <v>7.5623844800000004</v>
      </c>
    </row>
    <row r="22" spans="2:30">
      <c r="B22" s="1">
        <v>40827</v>
      </c>
      <c r="C22" s="20">
        <f>Gas!C21</f>
        <v>21</v>
      </c>
      <c r="D22" s="45">
        <f t="shared" si="20"/>
        <v>2.1</v>
      </c>
      <c r="E22" s="12">
        <f t="shared" si="17"/>
        <v>2.1987000000000001</v>
      </c>
      <c r="G22" s="12">
        <f t="shared" si="18"/>
        <v>615.29446234983891</v>
      </c>
      <c r="H22" s="12">
        <f t="shared" si="19"/>
        <v>644.21330208028132</v>
      </c>
      <c r="I22" s="12"/>
      <c r="J22" s="1">
        <v>40817</v>
      </c>
      <c r="K22" s="45">
        <f>Elec!B23</f>
        <v>502</v>
      </c>
      <c r="L22" s="15">
        <f>Elec!C23</f>
        <v>0</v>
      </c>
      <c r="M22" s="12">
        <f t="shared" si="10"/>
        <v>502</v>
      </c>
      <c r="N22" s="15">
        <f>-(Elec!E23)</f>
        <v>0</v>
      </c>
      <c r="O22" s="8">
        <f t="shared" si="11"/>
        <v>0</v>
      </c>
      <c r="Q22" s="12">
        <f t="shared" si="12"/>
        <v>1676.6799999999998</v>
      </c>
      <c r="R22" s="8">
        <f t="shared" si="13"/>
        <v>1676.6799999999998</v>
      </c>
      <c r="S22" s="12">
        <f t="shared" si="21"/>
        <v>1.7133259999999999</v>
      </c>
      <c r="T22" s="12">
        <f t="shared" si="22"/>
        <v>5.7225088399999988</v>
      </c>
      <c r="U22" s="12">
        <f t="shared" si="14"/>
        <v>5.7225088399999988</v>
      </c>
      <c r="V22" s="8">
        <f>HDD!B23</f>
        <v>610</v>
      </c>
      <c r="W22" s="8">
        <f>CDD!B23</f>
        <v>1</v>
      </c>
      <c r="Y22" s="26">
        <f t="shared" si="23"/>
        <v>1117.2944623498388</v>
      </c>
      <c r="Z22" s="27">
        <f t="shared" si="24"/>
        <v>2320.893302080281</v>
      </c>
      <c r="AA22" s="12">
        <f t="shared" si="15"/>
        <v>2320.893302080281</v>
      </c>
      <c r="AB22" s="27">
        <f t="shared" si="25"/>
        <v>3.813326</v>
      </c>
      <c r="AC22" s="28">
        <f t="shared" si="26"/>
        <v>7.9212088399999985</v>
      </c>
      <c r="AD22" s="12">
        <f t="shared" si="16"/>
        <v>7.9212088399999985</v>
      </c>
    </row>
    <row r="23" spans="2:30">
      <c r="B23" s="1">
        <v>40858</v>
      </c>
      <c r="C23" s="20">
        <f>Gas!C22</f>
        <v>10</v>
      </c>
      <c r="D23" s="45">
        <f t="shared" si="20"/>
        <v>1</v>
      </c>
      <c r="E23" s="12">
        <f t="shared" si="17"/>
        <v>1.0469999999999999</v>
      </c>
      <c r="G23" s="12">
        <f t="shared" si="18"/>
        <v>292.99736302373282</v>
      </c>
      <c r="H23" s="12">
        <f t="shared" si="19"/>
        <v>306.76823908584822</v>
      </c>
      <c r="I23" s="12"/>
      <c r="J23" s="1">
        <v>40848</v>
      </c>
      <c r="K23" s="45">
        <f>Elec!B24</f>
        <v>511</v>
      </c>
      <c r="L23" s="15">
        <f>Elec!C24</f>
        <v>0</v>
      </c>
      <c r="M23" s="12">
        <f t="shared" si="10"/>
        <v>511</v>
      </c>
      <c r="N23" s="15">
        <f>-(Elec!E24)</f>
        <v>0</v>
      </c>
      <c r="O23" s="8">
        <f t="shared" si="11"/>
        <v>0</v>
      </c>
      <c r="Q23" s="12">
        <f t="shared" si="12"/>
        <v>1706.74</v>
      </c>
      <c r="R23" s="8">
        <f t="shared" si="13"/>
        <v>1706.74</v>
      </c>
      <c r="S23" s="12">
        <f t="shared" si="21"/>
        <v>1.7440429999999998</v>
      </c>
      <c r="T23" s="12">
        <f t="shared" si="22"/>
        <v>5.8251036199999993</v>
      </c>
      <c r="U23" s="12">
        <f t="shared" si="14"/>
        <v>5.8251036199999993</v>
      </c>
      <c r="V23" s="8">
        <f>HDD!B24</f>
        <v>906</v>
      </c>
      <c r="W23" s="8">
        <f>CDD!B24</f>
        <v>0</v>
      </c>
      <c r="Y23" s="26">
        <f t="shared" si="23"/>
        <v>803.99736302373276</v>
      </c>
      <c r="Z23" s="27">
        <f t="shared" si="24"/>
        <v>2013.5082390858483</v>
      </c>
      <c r="AA23" s="12">
        <f t="shared" si="15"/>
        <v>2013.5082390858483</v>
      </c>
      <c r="AB23" s="27">
        <f t="shared" si="25"/>
        <v>2.7440429999999996</v>
      </c>
      <c r="AC23" s="28">
        <f t="shared" si="26"/>
        <v>6.872103619999999</v>
      </c>
      <c r="AD23" s="12">
        <f t="shared" si="16"/>
        <v>6.872103619999999</v>
      </c>
    </row>
    <row r="24" spans="2:30">
      <c r="B24" s="1">
        <v>40888</v>
      </c>
      <c r="C24" s="20">
        <f>Gas!C23</f>
        <v>19</v>
      </c>
      <c r="D24" s="45">
        <f t="shared" si="20"/>
        <v>1.9000000000000001</v>
      </c>
      <c r="E24" s="12">
        <f t="shared" si="17"/>
        <v>1.9893000000000001</v>
      </c>
      <c r="G24" s="12">
        <f t="shared" si="18"/>
        <v>556.69498974509236</v>
      </c>
      <c r="H24" s="12">
        <f t="shared" si="19"/>
        <v>582.85965426311168</v>
      </c>
      <c r="I24" s="12"/>
      <c r="J24" s="1">
        <v>40878</v>
      </c>
      <c r="K24" s="45">
        <f>Elec!B25</f>
        <v>696</v>
      </c>
      <c r="L24" s="15">
        <f>Elec!C25</f>
        <v>0</v>
      </c>
      <c r="M24" s="12">
        <f t="shared" si="10"/>
        <v>696</v>
      </c>
      <c r="N24" s="15">
        <f>-(Elec!E25)</f>
        <v>0</v>
      </c>
      <c r="O24" s="8">
        <f t="shared" si="11"/>
        <v>0</v>
      </c>
      <c r="Q24" s="12">
        <f t="shared" si="12"/>
        <v>2324.64</v>
      </c>
      <c r="R24" s="8">
        <f t="shared" si="13"/>
        <v>2324.64</v>
      </c>
      <c r="S24" s="12">
        <f t="shared" si="21"/>
        <v>2.375448</v>
      </c>
      <c r="T24" s="12">
        <f t="shared" si="22"/>
        <v>7.9339963199999994</v>
      </c>
      <c r="U24" s="12">
        <f t="shared" si="14"/>
        <v>7.9339963199999994</v>
      </c>
      <c r="V24" s="8">
        <f>HDD!B25</f>
        <v>1071</v>
      </c>
      <c r="W24" s="8">
        <f>CDD!B25</f>
        <v>0</v>
      </c>
      <c r="Y24" s="26">
        <f t="shared" si="23"/>
        <v>1252.6949897450922</v>
      </c>
      <c r="Z24" s="27">
        <f t="shared" si="24"/>
        <v>2907.4996542631116</v>
      </c>
      <c r="AA24" s="12">
        <f t="shared" si="15"/>
        <v>2907.4996542631116</v>
      </c>
      <c r="AB24" s="27">
        <f t="shared" si="25"/>
        <v>4.2754479999999999</v>
      </c>
      <c r="AC24" s="28">
        <f t="shared" si="26"/>
        <v>9.9232963199999986</v>
      </c>
      <c r="AD24" s="12">
        <f t="shared" si="16"/>
        <v>9.9232963199999986</v>
      </c>
    </row>
    <row r="25" spans="2:30">
      <c r="B25" s="1">
        <v>40920</v>
      </c>
      <c r="C25" s="20">
        <f>Gas!C24</f>
        <v>16</v>
      </c>
      <c r="D25" s="45">
        <f t="shared" si="20"/>
        <v>1.6</v>
      </c>
      <c r="E25" s="12">
        <f t="shared" si="17"/>
        <v>1.6752</v>
      </c>
      <c r="G25" s="12">
        <f t="shared" si="18"/>
        <v>468.79578083797253</v>
      </c>
      <c r="H25" s="12">
        <f t="shared" si="19"/>
        <v>490.82918253735721</v>
      </c>
      <c r="I25" s="12"/>
      <c r="J25" s="1">
        <v>40909</v>
      </c>
      <c r="K25" s="45">
        <f>Elec!B26</f>
        <v>726</v>
      </c>
      <c r="L25" s="15">
        <f>Elec!C26</f>
        <v>0</v>
      </c>
      <c r="M25" s="12">
        <f t="shared" si="10"/>
        <v>726</v>
      </c>
      <c r="N25" s="15">
        <f>-(Elec!E26)</f>
        <v>0</v>
      </c>
      <c r="O25" s="8">
        <f t="shared" si="11"/>
        <v>0</v>
      </c>
      <c r="Q25" s="12">
        <f t="shared" si="12"/>
        <v>2424.8399999999997</v>
      </c>
      <c r="R25" s="8">
        <f t="shared" si="13"/>
        <v>2424.8399999999997</v>
      </c>
      <c r="S25" s="12">
        <f t="shared" si="21"/>
        <v>2.4778379999999998</v>
      </c>
      <c r="T25" s="12">
        <f t="shared" si="22"/>
        <v>8.2759789199999982</v>
      </c>
      <c r="U25" s="12">
        <f t="shared" si="14"/>
        <v>8.2759789199999982</v>
      </c>
      <c r="V25" s="8">
        <f>HDD!B26</f>
        <v>890</v>
      </c>
      <c r="W25" s="8">
        <f>CDD!B26</f>
        <v>0</v>
      </c>
      <c r="Y25" s="26">
        <f t="shared" si="23"/>
        <v>1194.7957808379724</v>
      </c>
      <c r="Z25" s="27">
        <f t="shared" si="24"/>
        <v>2915.6691825373568</v>
      </c>
      <c r="AA25" s="12">
        <f t="shared" si="15"/>
        <v>2915.6691825373568</v>
      </c>
      <c r="AB25" s="27">
        <f t="shared" si="25"/>
        <v>4.0778379999999999</v>
      </c>
      <c r="AC25" s="28">
        <f t="shared" si="26"/>
        <v>9.9511789199999985</v>
      </c>
      <c r="AD25" s="12">
        <f t="shared" si="16"/>
        <v>9.9511789199999985</v>
      </c>
    </row>
    <row r="26" spans="2:30">
      <c r="B26" s="1">
        <v>40940</v>
      </c>
      <c r="C26" s="20">
        <f>Gas!C25</f>
        <v>19</v>
      </c>
      <c r="D26" s="45">
        <f t="shared" si="20"/>
        <v>1.9000000000000001</v>
      </c>
      <c r="E26" s="12">
        <f t="shared" si="17"/>
        <v>1.9893000000000001</v>
      </c>
      <c r="G26" s="12">
        <f t="shared" si="18"/>
        <v>556.69498974509236</v>
      </c>
      <c r="H26" s="12">
        <f t="shared" si="19"/>
        <v>582.85965426311168</v>
      </c>
      <c r="I26" s="12"/>
      <c r="J26" s="1">
        <v>40940</v>
      </c>
      <c r="K26" s="45">
        <f>Elec!B27</f>
        <v>735</v>
      </c>
      <c r="L26" s="15">
        <f>Elec!C27</f>
        <v>0</v>
      </c>
      <c r="M26" s="12">
        <f t="shared" si="10"/>
        <v>735</v>
      </c>
      <c r="N26" s="15">
        <f>-(Elec!E27)</f>
        <v>0</v>
      </c>
      <c r="O26" s="8">
        <f t="shared" si="11"/>
        <v>0</v>
      </c>
      <c r="Q26" s="12">
        <f t="shared" si="12"/>
        <v>2454.9</v>
      </c>
      <c r="R26" s="8">
        <f t="shared" si="13"/>
        <v>2454.9</v>
      </c>
      <c r="S26" s="12">
        <f t="shared" si="21"/>
        <v>2.5085549999999999</v>
      </c>
      <c r="T26" s="12">
        <f t="shared" si="22"/>
        <v>8.3785737000000005</v>
      </c>
      <c r="U26" s="12">
        <f t="shared" si="14"/>
        <v>8.3785737000000005</v>
      </c>
      <c r="V26" s="8">
        <f>HDD!B27</f>
        <v>626</v>
      </c>
      <c r="W26" s="8">
        <f>CDD!B27</f>
        <v>22</v>
      </c>
      <c r="Y26" s="26">
        <f t="shared" si="23"/>
        <v>1291.6949897450922</v>
      </c>
      <c r="Z26" s="27">
        <f t="shared" si="24"/>
        <v>3037.7596542631118</v>
      </c>
      <c r="AA26" s="12">
        <f t="shared" si="15"/>
        <v>3037.7596542631118</v>
      </c>
      <c r="AB26" s="27">
        <f t="shared" si="25"/>
        <v>4.4085549999999998</v>
      </c>
      <c r="AC26" s="28">
        <f t="shared" si="26"/>
        <v>10.367873700000001</v>
      </c>
      <c r="AD26" s="12">
        <f t="shared" si="16"/>
        <v>10.367873700000001</v>
      </c>
    </row>
    <row r="27" spans="2:30">
      <c r="B27" s="1">
        <v>40969</v>
      </c>
      <c r="C27" s="20">
        <f>Gas!C26</f>
        <v>14</v>
      </c>
      <c r="D27" s="45">
        <f t="shared" si="20"/>
        <v>1.4000000000000001</v>
      </c>
      <c r="E27" s="12">
        <f t="shared" si="17"/>
        <v>1.4658</v>
      </c>
      <c r="G27" s="12">
        <f t="shared" si="18"/>
        <v>410.19630823322598</v>
      </c>
      <c r="H27" s="12">
        <f t="shared" si="19"/>
        <v>429.47553472018757</v>
      </c>
      <c r="I27" s="12"/>
      <c r="J27" s="1">
        <v>40969</v>
      </c>
      <c r="K27" s="45">
        <f>Elec!B28</f>
        <v>318</v>
      </c>
      <c r="L27" s="15">
        <f>Elec!C28</f>
        <v>0</v>
      </c>
      <c r="M27" s="12">
        <f t="shared" si="10"/>
        <v>449.83299999999997</v>
      </c>
      <c r="N27" s="15">
        <f>-(Elec!E28)</f>
        <v>131.833</v>
      </c>
      <c r="O27" s="8">
        <f t="shared" si="11"/>
        <v>131.833</v>
      </c>
      <c r="P27" s="12">
        <f>M27-O27</f>
        <v>318</v>
      </c>
      <c r="Q27" s="12">
        <f t="shared" si="12"/>
        <v>1193.953</v>
      </c>
      <c r="R27" s="8">
        <f t="shared" si="13"/>
        <v>1502.4422199999999</v>
      </c>
      <c r="S27" s="12">
        <f t="shared" si="21"/>
        <v>1.5352800289999997</v>
      </c>
      <c r="T27" s="12">
        <f t="shared" si="22"/>
        <v>4.0749615889999999</v>
      </c>
      <c r="U27" s="12">
        <f t="shared" si="14"/>
        <v>5.1278352968599989</v>
      </c>
      <c r="V27" s="8">
        <f>HDD!B28</f>
        <v>441</v>
      </c>
      <c r="W27" s="8">
        <f>CDD!B28</f>
        <v>27</v>
      </c>
      <c r="Y27" s="26">
        <f t="shared" si="23"/>
        <v>860.02930823322595</v>
      </c>
      <c r="Z27" s="27">
        <f t="shared" si="24"/>
        <v>1623.4285347201876</v>
      </c>
      <c r="AA27" s="12">
        <f t="shared" si="15"/>
        <v>1931.9177547201875</v>
      </c>
      <c r="AB27" s="27">
        <f t="shared" si="25"/>
        <v>2.9352800289999998</v>
      </c>
      <c r="AC27" s="28">
        <f t="shared" si="26"/>
        <v>5.5407615889999997</v>
      </c>
      <c r="AD27" s="12">
        <f t="shared" si="16"/>
        <v>6.5936352968599987</v>
      </c>
    </row>
    <row r="28" spans="2:30">
      <c r="B28" s="1">
        <v>41000</v>
      </c>
      <c r="C28" s="20">
        <f>Gas!C27</f>
        <v>19</v>
      </c>
      <c r="D28" s="45">
        <f t="shared" si="20"/>
        <v>1.9000000000000001</v>
      </c>
      <c r="E28" s="12">
        <f t="shared" si="17"/>
        <v>1.9893000000000001</v>
      </c>
      <c r="G28" s="12">
        <f t="shared" si="18"/>
        <v>556.69498974509236</v>
      </c>
      <c r="H28" s="12">
        <f t="shared" si="19"/>
        <v>582.85965426311168</v>
      </c>
      <c r="I28" s="12"/>
      <c r="J28" s="1">
        <v>41000</v>
      </c>
      <c r="K28" s="45">
        <f>Elec!B29</f>
        <v>57</v>
      </c>
      <c r="L28" s="15">
        <f>Elec!C29</f>
        <v>0</v>
      </c>
      <c r="M28" s="12">
        <f t="shared" si="10"/>
        <v>610.92200000000003</v>
      </c>
      <c r="N28" s="15">
        <f>-(Elec!E29)</f>
        <v>553.92200000000003</v>
      </c>
      <c r="O28" s="8">
        <f t="shared" si="11"/>
        <v>553.92200000000003</v>
      </c>
      <c r="P28" s="12">
        <f t="shared" ref="P28:P31" si="27">M28-O28</f>
        <v>57</v>
      </c>
      <c r="Q28" s="12">
        <f t="shared" si="12"/>
        <v>744.30200000000002</v>
      </c>
      <c r="R28" s="8">
        <f t="shared" si="13"/>
        <v>2040.47948</v>
      </c>
      <c r="S28" s="12">
        <f t="shared" si="21"/>
        <v>2.0850767860000001</v>
      </c>
      <c r="T28" s="12">
        <f t="shared" si="22"/>
        <v>2.5403027259999997</v>
      </c>
      <c r="U28" s="12">
        <f t="shared" si="14"/>
        <v>6.9641564652399994</v>
      </c>
      <c r="V28" s="8">
        <f>HDD!B29</f>
        <v>160</v>
      </c>
      <c r="W28" s="8">
        <f>CDD!B29</f>
        <v>104</v>
      </c>
      <c r="Y28" s="26">
        <f t="shared" si="23"/>
        <v>1167.6169897450923</v>
      </c>
      <c r="Z28" s="27">
        <f t="shared" si="24"/>
        <v>1327.1616542631118</v>
      </c>
      <c r="AA28" s="12">
        <f t="shared" si="15"/>
        <v>2623.3391342631116</v>
      </c>
      <c r="AB28" s="27">
        <f t="shared" si="25"/>
        <v>3.9850767860000005</v>
      </c>
      <c r="AC28" s="28">
        <f t="shared" si="26"/>
        <v>4.5296027260000002</v>
      </c>
      <c r="AD28" s="12">
        <f t="shared" si="16"/>
        <v>8.9534564652399986</v>
      </c>
    </row>
    <row r="29" spans="2:30">
      <c r="B29" s="1">
        <v>41030</v>
      </c>
      <c r="C29" s="20">
        <f>Gas!C28</f>
        <v>20</v>
      </c>
      <c r="D29" s="45">
        <f t="shared" si="20"/>
        <v>2</v>
      </c>
      <c r="E29" s="12">
        <f t="shared" si="17"/>
        <v>2.0939999999999999</v>
      </c>
      <c r="G29" s="12">
        <f t="shared" si="18"/>
        <v>585.99472604746563</v>
      </c>
      <c r="H29" s="12">
        <f t="shared" si="19"/>
        <v>613.53647817169644</v>
      </c>
      <c r="I29" s="12"/>
      <c r="J29" s="1">
        <v>41030</v>
      </c>
      <c r="K29" s="45">
        <f>Elec!B30</f>
        <v>80</v>
      </c>
      <c r="L29" s="15">
        <f>Elec!C30</f>
        <v>0</v>
      </c>
      <c r="M29" s="12">
        <f t="shared" si="10"/>
        <v>475.82799999999997</v>
      </c>
      <c r="N29" s="15">
        <f>-(Elec!E30)</f>
        <v>395.82799999999997</v>
      </c>
      <c r="O29" s="8">
        <f t="shared" si="11"/>
        <v>395.82799999999997</v>
      </c>
      <c r="P29" s="12">
        <f t="shared" si="27"/>
        <v>80</v>
      </c>
      <c r="Q29" s="12">
        <f t="shared" si="12"/>
        <v>663.02800000000002</v>
      </c>
      <c r="R29" s="8">
        <f t="shared" si="13"/>
        <v>1589.2655199999999</v>
      </c>
      <c r="S29" s="12">
        <f t="shared" si="21"/>
        <v>1.6240009639999997</v>
      </c>
      <c r="T29" s="12">
        <f t="shared" si="22"/>
        <v>2.2629145639999999</v>
      </c>
      <c r="U29" s="12">
        <f t="shared" si="14"/>
        <v>5.4241632197599996</v>
      </c>
      <c r="V29" s="8">
        <f>HDD!B30</f>
        <v>87</v>
      </c>
      <c r="W29" s="8">
        <f>CDD!B30</f>
        <v>162</v>
      </c>
      <c r="Y29" s="26">
        <f t="shared" si="23"/>
        <v>1061.8227260474655</v>
      </c>
      <c r="Z29" s="27">
        <f t="shared" si="24"/>
        <v>1276.5644781716965</v>
      </c>
      <c r="AA29" s="12">
        <f t="shared" si="15"/>
        <v>2202.8019981716961</v>
      </c>
      <c r="AB29" s="27">
        <f t="shared" si="25"/>
        <v>3.6240009639999995</v>
      </c>
      <c r="AC29" s="28">
        <f t="shared" si="26"/>
        <v>4.3569145640000002</v>
      </c>
      <c r="AD29" s="12">
        <f t="shared" si="16"/>
        <v>7.5181632197599999</v>
      </c>
    </row>
    <row r="30" spans="2:30">
      <c r="B30" s="1">
        <v>41061</v>
      </c>
      <c r="C30" s="20">
        <f>Gas!C29</f>
        <v>18</v>
      </c>
      <c r="D30" s="45">
        <f t="shared" si="20"/>
        <v>1.8</v>
      </c>
      <c r="E30" s="12">
        <f t="shared" si="17"/>
        <v>1.8845999999999998</v>
      </c>
      <c r="G30" s="12">
        <f t="shared" si="18"/>
        <v>527.39525344271908</v>
      </c>
      <c r="H30" s="12">
        <f t="shared" si="19"/>
        <v>552.1828303545268</v>
      </c>
      <c r="I30" s="12"/>
      <c r="J30" s="1">
        <v>41061</v>
      </c>
      <c r="K30" s="45">
        <f>Elec!B31</f>
        <v>8</v>
      </c>
      <c r="L30" s="15">
        <f>Elec!C31</f>
        <v>0</v>
      </c>
      <c r="M30" s="12">
        <f t="shared" si="10"/>
        <v>495.60500000000002</v>
      </c>
      <c r="N30" s="15">
        <f>-(Elec!E31)</f>
        <v>487.60500000000002</v>
      </c>
      <c r="O30" s="8">
        <f t="shared" si="11"/>
        <v>487.60500000000002</v>
      </c>
      <c r="P30" s="12">
        <f t="shared" si="27"/>
        <v>8</v>
      </c>
      <c r="Q30" s="12">
        <f t="shared" si="12"/>
        <v>514.32500000000005</v>
      </c>
      <c r="R30" s="8">
        <f t="shared" si="13"/>
        <v>1655.3207</v>
      </c>
      <c r="S30" s="12">
        <f t="shared" si="21"/>
        <v>1.6914998649999999</v>
      </c>
      <c r="T30" s="12">
        <f t="shared" si="22"/>
        <v>1.7553912250000001</v>
      </c>
      <c r="U30" s="12">
        <f t="shared" si="14"/>
        <v>5.6496095491</v>
      </c>
      <c r="V30" s="8">
        <f>HDD!B31</f>
        <v>15</v>
      </c>
      <c r="W30" s="8">
        <f>CDD!B31</f>
        <v>333</v>
      </c>
      <c r="Y30" s="26">
        <f t="shared" si="23"/>
        <v>1023.0002534427191</v>
      </c>
      <c r="Z30" s="27">
        <f t="shared" si="24"/>
        <v>1066.507830354527</v>
      </c>
      <c r="AA30" s="12">
        <f t="shared" si="15"/>
        <v>2207.5035303545269</v>
      </c>
      <c r="AB30" s="27">
        <f t="shared" si="25"/>
        <v>3.4914998649999998</v>
      </c>
      <c r="AC30" s="28">
        <f t="shared" si="26"/>
        <v>3.6399912250000002</v>
      </c>
      <c r="AD30" s="12">
        <f t="shared" si="16"/>
        <v>7.5342095490999998</v>
      </c>
    </row>
    <row r="31" spans="2:30">
      <c r="B31" s="1">
        <v>41101</v>
      </c>
      <c r="C31" s="20">
        <f>Gas!C30</f>
        <v>16</v>
      </c>
      <c r="D31" s="45">
        <f t="shared" si="20"/>
        <v>1.6</v>
      </c>
      <c r="E31" s="12">
        <f t="shared" si="17"/>
        <v>1.6752</v>
      </c>
      <c r="G31" s="12">
        <f t="shared" si="18"/>
        <v>468.79578083797253</v>
      </c>
      <c r="H31" s="12">
        <f t="shared" si="19"/>
        <v>490.82918253735721</v>
      </c>
      <c r="I31" s="12"/>
      <c r="J31" s="1">
        <v>41091</v>
      </c>
      <c r="K31" s="45">
        <f>Elec!B32</f>
        <v>133</v>
      </c>
      <c r="L31" s="15">
        <f>Elec!C32</f>
        <v>0</v>
      </c>
      <c r="M31" s="12">
        <f t="shared" si="10"/>
        <v>648.14800000000002</v>
      </c>
      <c r="N31" s="15">
        <f>-(Elec!E32)</f>
        <v>515.14800000000002</v>
      </c>
      <c r="O31" s="8">
        <f t="shared" si="11"/>
        <v>515.14800000000002</v>
      </c>
      <c r="P31" s="12">
        <f t="shared" si="27"/>
        <v>133</v>
      </c>
      <c r="Q31" s="12">
        <f t="shared" si="12"/>
        <v>959.36799999999994</v>
      </c>
      <c r="R31" s="8">
        <f t="shared" si="13"/>
        <v>2164.81432</v>
      </c>
      <c r="S31" s="12">
        <f t="shared" si="21"/>
        <v>2.2121291240000001</v>
      </c>
      <c r="T31" s="12">
        <f t="shared" si="22"/>
        <v>3.2743229839999994</v>
      </c>
      <c r="U31" s="12">
        <f t="shared" si="14"/>
        <v>7.388511274159999</v>
      </c>
      <c r="V31" s="8">
        <f>HDD!B32</f>
        <v>36</v>
      </c>
      <c r="W31" s="8">
        <f>CDD!B32</f>
        <v>266</v>
      </c>
      <c r="Y31" s="29">
        <f t="shared" si="23"/>
        <v>1116.9437808379726</v>
      </c>
      <c r="Z31" s="30">
        <f t="shared" si="24"/>
        <v>1450.1971825373571</v>
      </c>
      <c r="AA31" s="12">
        <f t="shared" si="15"/>
        <v>2655.6435025373571</v>
      </c>
      <c r="AB31" s="30">
        <f t="shared" si="25"/>
        <v>3.8121291240000001</v>
      </c>
      <c r="AC31" s="31">
        <f t="shared" si="26"/>
        <v>4.9495229839999997</v>
      </c>
      <c r="AD31" s="12">
        <f t="shared" si="16"/>
        <v>9.0637112741599992</v>
      </c>
    </row>
    <row r="32" spans="2:30" s="8" customFormat="1">
      <c r="B32" s="1"/>
      <c r="C32" s="20" t="s">
        <v>96</v>
      </c>
      <c r="D32" s="45">
        <f>SUM(D26:D31)</f>
        <v>10.6</v>
      </c>
      <c r="E32" s="12">
        <f t="shared" si="17"/>
        <v>11.098199999999999</v>
      </c>
      <c r="G32" s="12"/>
      <c r="H32" s="12"/>
      <c r="I32" s="12"/>
      <c r="J32" s="1"/>
      <c r="K32" s="45"/>
      <c r="L32" s="15"/>
      <c r="M32" s="12"/>
      <c r="N32" s="15" t="s">
        <v>96</v>
      </c>
      <c r="O32" s="8">
        <f>SUM(O26:O31)</f>
        <v>2084.3360000000002</v>
      </c>
      <c r="P32" s="12">
        <f>SUM(P27:P31)</f>
        <v>596</v>
      </c>
      <c r="Q32" s="12"/>
      <c r="R32" s="8" t="s">
        <v>96</v>
      </c>
      <c r="S32" s="12">
        <f>SUM(S26:S31)</f>
        <v>11.656541768</v>
      </c>
      <c r="T32" s="12">
        <f>SUM(T26:T31)</f>
        <v>22.286466787999998</v>
      </c>
      <c r="U32" s="12">
        <f>SUM(U26:U31)</f>
        <v>38.932849505119997</v>
      </c>
      <c r="Y32" s="27"/>
      <c r="Z32" s="27"/>
      <c r="AA32" s="12"/>
      <c r="AB32" s="27">
        <f t="shared" si="25"/>
        <v>22.256541767999998</v>
      </c>
      <c r="AC32" s="27"/>
      <c r="AD32" s="12"/>
    </row>
    <row r="33" spans="1:30">
      <c r="B33" s="1"/>
      <c r="C33" s="20"/>
      <c r="D33" s="15"/>
      <c r="O33" s="12">
        <f>O32*$E$3</f>
        <v>7.1138387680000008</v>
      </c>
      <c r="Q33" s="12"/>
      <c r="AA33" s="12"/>
    </row>
    <row r="34" spans="1:30">
      <c r="B34" s="8"/>
      <c r="C34" s="46"/>
      <c r="D34" s="15"/>
      <c r="M34" s="8" t="s">
        <v>35</v>
      </c>
      <c r="AA34" s="12"/>
    </row>
    <row r="35" spans="1:30" s="8" customFormat="1">
      <c r="C35" s="45"/>
      <c r="D35" s="47" t="s">
        <v>73</v>
      </c>
      <c r="AA35" s="12"/>
    </row>
    <row r="36" spans="1:30" s="8" customFormat="1">
      <c r="C36" s="45">
        <f>SUM(C26:C31)/6</f>
        <v>17.666666666666668</v>
      </c>
      <c r="D36" s="45">
        <f t="shared" ref="D36" si="28">C36*E$2</f>
        <v>1.7666666666666668</v>
      </c>
      <c r="E36" s="48">
        <f t="shared" ref="E36" si="29">D36*E$5</f>
        <v>1.8497000000000001</v>
      </c>
      <c r="F36" s="49"/>
      <c r="G36" s="48">
        <f t="shared" ref="G36" si="30">D36*E$1</f>
        <v>517.62867467526132</v>
      </c>
      <c r="H36" s="48">
        <f t="shared" ref="H36" si="31">E36*E$1</f>
        <v>541.95722238499866</v>
      </c>
      <c r="I36" s="49"/>
      <c r="J36" s="49"/>
      <c r="K36" s="49"/>
      <c r="L36" s="49"/>
      <c r="M36" s="48">
        <f>MIN(M26:M31)</f>
        <v>449.83299999999997</v>
      </c>
      <c r="N36" s="49"/>
      <c r="O36" s="49"/>
      <c r="P36" s="49"/>
      <c r="Q36" s="49"/>
      <c r="R36" s="49">
        <f t="shared" ref="R36" si="32">M36*E$4</f>
        <v>1502.4422199999999</v>
      </c>
      <c r="S36" s="48">
        <f t="shared" ref="S36" si="33">M36*E$3</f>
        <v>1.5352800289999997</v>
      </c>
      <c r="T36" s="48"/>
      <c r="U36" s="48"/>
      <c r="V36" s="49"/>
      <c r="W36" s="49"/>
      <c r="X36" s="49"/>
      <c r="Y36" s="48">
        <f t="shared" ref="Y36" si="34">G36+M36</f>
        <v>967.46167467526129</v>
      </c>
      <c r="Z36" s="48"/>
      <c r="AA36" s="12">
        <f t="shared" si="15"/>
        <v>2044.3994423849986</v>
      </c>
      <c r="AB36" s="48">
        <f t="shared" ref="AB36" si="35">D36+S36</f>
        <v>3.3019466956666665</v>
      </c>
      <c r="AC36" s="48"/>
      <c r="AD36" s="50">
        <f t="shared" ref="AD36" si="36">E36+R36*E$3</f>
        <v>6.9775352968599993</v>
      </c>
    </row>
    <row r="37" spans="1:30" s="8" customFormat="1">
      <c r="C37" s="45"/>
      <c r="D37" s="45"/>
      <c r="E37" s="12"/>
      <c r="G37" s="12"/>
      <c r="H37" s="12"/>
      <c r="M37" s="12"/>
      <c r="S37" s="12"/>
      <c r="T37" s="12"/>
      <c r="U37" s="12"/>
      <c r="Y37" s="27"/>
      <c r="Z37" s="27"/>
      <c r="AA37" s="12"/>
      <c r="AB37" s="27"/>
      <c r="AC37" s="27"/>
      <c r="AD37" s="12"/>
    </row>
    <row r="38" spans="1:30">
      <c r="C38" s="12">
        <f>SUM(C26:C31)</f>
        <v>106</v>
      </c>
      <c r="M38" s="12">
        <f>SUM(M26:M31)</f>
        <v>3415.3360000000002</v>
      </c>
      <c r="W38" s="32" t="s">
        <v>46</v>
      </c>
      <c r="X38" s="33"/>
      <c r="Y38" s="33"/>
      <c r="Z38" s="33"/>
      <c r="AA38" s="33"/>
      <c r="AB38" s="33"/>
      <c r="AC38" s="33"/>
      <c r="AD38" s="34"/>
    </row>
    <row r="39" spans="1:30">
      <c r="W39" s="35"/>
      <c r="X39" s="19"/>
      <c r="Y39" s="19" t="s">
        <v>18</v>
      </c>
      <c r="Z39" s="19" t="s">
        <v>21</v>
      </c>
      <c r="AA39" s="19" t="s">
        <v>72</v>
      </c>
      <c r="AB39" s="19" t="s">
        <v>19</v>
      </c>
      <c r="AC39" s="19" t="s">
        <v>20</v>
      </c>
      <c r="AD39" s="36" t="s">
        <v>72</v>
      </c>
    </row>
    <row r="40" spans="1:30">
      <c r="A40" s="8" t="s">
        <v>92</v>
      </c>
      <c r="E40" s="12">
        <f>SUM(E26:E31)</f>
        <v>11.098199999999999</v>
      </c>
      <c r="R40" s="12">
        <f>SUM(R26:R31)*E3</f>
        <v>38.932849505119997</v>
      </c>
      <c r="W40" s="35"/>
      <c r="X40" s="19"/>
      <c r="Y40" s="19"/>
      <c r="Z40" s="19"/>
      <c r="AA40" s="19"/>
      <c r="AB40" s="19"/>
      <c r="AC40" s="19"/>
      <c r="AD40" s="36"/>
    </row>
    <row r="41" spans="1:30">
      <c r="W41" s="35" t="s">
        <v>45</v>
      </c>
      <c r="X41" s="19"/>
      <c r="Y41" s="27">
        <f t="shared" ref="Y41:AD41" si="37">SUM(Y26:Y31)</f>
        <v>6521.1080480515684</v>
      </c>
      <c r="Z41" s="27">
        <f t="shared" si="37"/>
        <v>9781.6193343099912</v>
      </c>
      <c r="AA41" s="27">
        <f t="shared" si="37"/>
        <v>14658.96557430999</v>
      </c>
      <c r="AB41" s="27">
        <f t="shared" si="37"/>
        <v>22.256541767999998</v>
      </c>
      <c r="AC41" s="27">
        <f t="shared" si="37"/>
        <v>33.384666787999997</v>
      </c>
      <c r="AD41" s="27">
        <f t="shared" si="37"/>
        <v>50.031049505119995</v>
      </c>
    </row>
    <row r="42" spans="1:30">
      <c r="W42" s="37"/>
      <c r="X42" s="38"/>
      <c r="Y42" s="38"/>
      <c r="Z42" s="38"/>
      <c r="AA42" s="38"/>
      <c r="AB42" s="38"/>
      <c r="AC42" s="38"/>
      <c r="AD42" s="39"/>
    </row>
  </sheetData>
  <mergeCells count="1">
    <mergeCell ref="K7:L7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4"/>
  <sheetViews>
    <sheetView topLeftCell="A4" workbookViewId="0">
      <selection activeCell="G34" sqref="G34"/>
    </sheetView>
  </sheetViews>
  <sheetFormatPr defaultRowHeight="15"/>
  <cols>
    <col min="1" max="1" width="13.140625" bestFit="1" customWidth="1"/>
  </cols>
  <sheetData>
    <row r="1" spans="1:5">
      <c r="A1" s="8" t="s">
        <v>7</v>
      </c>
      <c r="B1" s="8" t="s">
        <v>8</v>
      </c>
      <c r="C1" s="8"/>
      <c r="D1" s="8"/>
      <c r="E1" s="8"/>
    </row>
    <row r="2" spans="1:5">
      <c r="A2" s="8" t="s">
        <v>9</v>
      </c>
      <c r="B2" s="8" t="s">
        <v>10</v>
      </c>
      <c r="C2" s="8"/>
      <c r="D2" s="8"/>
      <c r="E2" s="8"/>
    </row>
    <row r="3" spans="1:5">
      <c r="A3" s="8" t="s">
        <v>11</v>
      </c>
      <c r="B3" s="8" t="s">
        <v>12</v>
      </c>
      <c r="C3" s="8"/>
      <c r="D3" s="8"/>
      <c r="E3" s="8"/>
    </row>
    <row r="4" spans="1:5">
      <c r="A4" s="8" t="s">
        <v>13</v>
      </c>
      <c r="B4" s="8" t="s">
        <v>40</v>
      </c>
      <c r="C4" s="8"/>
      <c r="D4" s="8"/>
      <c r="E4" s="8"/>
    </row>
    <row r="5" spans="1:5">
      <c r="A5" s="8" t="s">
        <v>14</v>
      </c>
      <c r="B5" s="8" t="s">
        <v>41</v>
      </c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 t="s">
        <v>15</v>
      </c>
      <c r="B7" s="8" t="s">
        <v>1</v>
      </c>
      <c r="C7" s="8" t="s">
        <v>16</v>
      </c>
      <c r="D7" s="8"/>
      <c r="E7" s="8"/>
    </row>
    <row r="8" spans="1:5" s="7" customFormat="1">
      <c r="A8" s="9">
        <v>40391</v>
      </c>
      <c r="B8" s="8">
        <v>33</v>
      </c>
      <c r="C8" s="8">
        <v>0.2</v>
      </c>
      <c r="D8" s="8"/>
      <c r="E8" s="8"/>
    </row>
    <row r="9" spans="1:5" s="4" customFormat="1">
      <c r="A9" s="9">
        <v>40422</v>
      </c>
      <c r="B9" s="8">
        <v>98</v>
      </c>
      <c r="C9" s="8">
        <v>0</v>
      </c>
      <c r="D9" s="8"/>
      <c r="E9" s="8"/>
    </row>
    <row r="10" spans="1:5">
      <c r="A10" s="9">
        <v>40452</v>
      </c>
      <c r="B10" s="8">
        <v>407</v>
      </c>
      <c r="C10" s="8">
        <v>0.2</v>
      </c>
      <c r="D10" s="8"/>
      <c r="E10" s="8"/>
    </row>
    <row r="11" spans="1:5">
      <c r="A11" s="9">
        <v>40483</v>
      </c>
      <c r="B11" s="8">
        <v>708</v>
      </c>
      <c r="C11" s="8">
        <v>0.03</v>
      </c>
      <c r="D11" s="8"/>
      <c r="E11" s="8"/>
    </row>
    <row r="12" spans="1:5">
      <c r="A12" s="9">
        <v>40513</v>
      </c>
      <c r="B12" s="8">
        <v>1130</v>
      </c>
      <c r="C12" s="8">
        <v>0.2</v>
      </c>
      <c r="D12" s="8"/>
      <c r="E12" s="8"/>
    </row>
    <row r="13" spans="1:5">
      <c r="A13" s="9">
        <v>40544</v>
      </c>
      <c r="B13" s="8">
        <v>1309</v>
      </c>
      <c r="C13" s="8">
        <v>0.6</v>
      </c>
      <c r="D13" s="8"/>
      <c r="E13" s="8"/>
    </row>
    <row r="14" spans="1:5">
      <c r="A14" s="9">
        <v>40575</v>
      </c>
      <c r="B14" s="8">
        <v>1080</v>
      </c>
      <c r="C14" s="8">
        <v>0</v>
      </c>
      <c r="D14" s="8"/>
      <c r="E14" s="8"/>
    </row>
    <row r="15" spans="1:5">
      <c r="A15" s="9">
        <v>40603</v>
      </c>
      <c r="B15" s="8">
        <v>883</v>
      </c>
      <c r="C15" s="8">
        <v>0</v>
      </c>
      <c r="D15" s="8"/>
      <c r="E15" s="8"/>
    </row>
    <row r="16" spans="1:5">
      <c r="A16" s="9">
        <v>40634</v>
      </c>
      <c r="B16" s="8">
        <v>471</v>
      </c>
      <c r="C16" s="8">
        <v>0.03</v>
      </c>
      <c r="D16" s="8"/>
      <c r="E16" s="8"/>
    </row>
    <row r="17" spans="1:5">
      <c r="A17" s="9">
        <v>40664</v>
      </c>
      <c r="B17" s="8">
        <v>189</v>
      </c>
      <c r="C17" s="8">
        <v>0.03</v>
      </c>
      <c r="D17" s="8"/>
      <c r="E17" s="8"/>
    </row>
    <row r="18" spans="1:5">
      <c r="A18" s="9">
        <v>40695</v>
      </c>
      <c r="B18" s="8">
        <v>69</v>
      </c>
      <c r="C18" s="8">
        <v>0</v>
      </c>
      <c r="D18" s="8"/>
      <c r="E18" s="8"/>
    </row>
    <row r="19" spans="1:5">
      <c r="A19" s="9">
        <v>40725</v>
      </c>
      <c r="B19" s="8">
        <v>16</v>
      </c>
      <c r="C19" s="8">
        <v>0</v>
      </c>
      <c r="D19" s="8"/>
      <c r="E19" s="8"/>
    </row>
    <row r="20" spans="1:5">
      <c r="A20" s="9">
        <v>40756</v>
      </c>
      <c r="B20" s="8">
        <v>34</v>
      </c>
      <c r="C20" s="8">
        <v>0</v>
      </c>
      <c r="D20" s="8"/>
      <c r="E20" s="8"/>
    </row>
    <row r="21" spans="1:5">
      <c r="A21" s="9">
        <v>40787</v>
      </c>
      <c r="B21" s="8">
        <v>87</v>
      </c>
      <c r="C21" s="8">
        <v>0.03</v>
      </c>
      <c r="D21" s="8"/>
      <c r="E21" s="8"/>
    </row>
    <row r="22" spans="1:5">
      <c r="A22" s="9">
        <v>40817</v>
      </c>
      <c r="B22" s="8">
        <v>429</v>
      </c>
      <c r="C22" s="8">
        <v>7</v>
      </c>
      <c r="D22" s="8"/>
      <c r="E22" s="8"/>
    </row>
    <row r="23" spans="1:5">
      <c r="A23" s="9">
        <v>40848</v>
      </c>
      <c r="B23" s="8">
        <v>610</v>
      </c>
      <c r="C23" s="8">
        <v>3</v>
      </c>
      <c r="D23" s="8"/>
      <c r="E23" s="8"/>
    </row>
    <row r="24" spans="1:5">
      <c r="A24" s="9">
        <v>40878</v>
      </c>
      <c r="B24" s="8">
        <v>906</v>
      </c>
      <c r="C24" s="8">
        <v>0.03</v>
      </c>
      <c r="D24" s="8"/>
      <c r="E24" s="8"/>
    </row>
    <row r="25" spans="1:5">
      <c r="A25" s="9">
        <v>40909</v>
      </c>
      <c r="B25" s="8">
        <v>1071</v>
      </c>
      <c r="C25" s="8">
        <v>0</v>
      </c>
      <c r="D25" s="8"/>
      <c r="E25" s="8"/>
    </row>
    <row r="26" spans="1:5">
      <c r="A26" s="9">
        <v>40940</v>
      </c>
      <c r="B26" s="8">
        <v>890</v>
      </c>
      <c r="C26" s="8">
        <v>0.03</v>
      </c>
      <c r="D26" s="8"/>
      <c r="E26" s="8"/>
    </row>
    <row r="27" spans="1:5">
      <c r="A27" s="9">
        <v>40969</v>
      </c>
      <c r="B27" s="8">
        <v>626</v>
      </c>
      <c r="C27" s="8">
        <v>2</v>
      </c>
      <c r="D27" s="8"/>
      <c r="E27" s="8"/>
    </row>
    <row r="28" spans="1:5">
      <c r="A28" s="9">
        <v>41000</v>
      </c>
      <c r="B28" s="8">
        <v>441</v>
      </c>
      <c r="C28" s="8">
        <v>2</v>
      </c>
      <c r="D28" s="8"/>
      <c r="E28" s="8"/>
    </row>
    <row r="29" spans="1:5">
      <c r="A29" s="9">
        <v>41030</v>
      </c>
      <c r="B29" s="8">
        <v>160</v>
      </c>
      <c r="C29" s="8">
        <v>0.06</v>
      </c>
      <c r="D29" s="8"/>
      <c r="E29" s="8"/>
    </row>
    <row r="30" spans="1:5">
      <c r="A30" s="9">
        <v>41061</v>
      </c>
      <c r="B30" s="8">
        <v>87</v>
      </c>
      <c r="C30" s="8">
        <v>0.03</v>
      </c>
      <c r="D30" s="8"/>
      <c r="E30" s="8"/>
    </row>
    <row r="31" spans="1:5">
      <c r="A31" s="9">
        <v>41091</v>
      </c>
      <c r="B31" s="8">
        <v>15</v>
      </c>
      <c r="C31" s="8">
        <v>0.2</v>
      </c>
      <c r="D31" s="8"/>
      <c r="E31" s="8"/>
    </row>
    <row r="32" spans="1:5">
      <c r="A32" s="9">
        <v>41122</v>
      </c>
      <c r="B32" s="8">
        <v>36</v>
      </c>
      <c r="C32" s="8">
        <v>0.03</v>
      </c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4"/>
  <sheetViews>
    <sheetView topLeftCell="A4" workbookViewId="0">
      <selection activeCell="H35" sqref="H35"/>
    </sheetView>
  </sheetViews>
  <sheetFormatPr defaultRowHeight="15"/>
  <cols>
    <col min="1" max="1" width="13.140625" bestFit="1" customWidth="1"/>
  </cols>
  <sheetData>
    <row r="1" spans="1:4">
      <c r="A1" s="8" t="s">
        <v>7</v>
      </c>
      <c r="B1" s="8" t="s">
        <v>17</v>
      </c>
      <c r="C1" s="8"/>
      <c r="D1" s="8"/>
    </row>
    <row r="2" spans="1:4">
      <c r="A2" s="8" t="s">
        <v>9</v>
      </c>
      <c r="B2" s="8" t="s">
        <v>10</v>
      </c>
      <c r="C2" s="8"/>
      <c r="D2" s="8"/>
    </row>
    <row r="3" spans="1:4">
      <c r="A3" s="8" t="s">
        <v>11</v>
      </c>
      <c r="B3" s="8" t="s">
        <v>12</v>
      </c>
      <c r="C3" s="8"/>
      <c r="D3" s="8"/>
    </row>
    <row r="4" spans="1:4">
      <c r="A4" s="8" t="s">
        <v>13</v>
      </c>
      <c r="B4" s="8" t="s">
        <v>40</v>
      </c>
      <c r="C4" s="8"/>
      <c r="D4" s="8"/>
    </row>
    <row r="5" spans="1:4">
      <c r="A5" s="8" t="s">
        <v>14</v>
      </c>
      <c r="B5" s="8" t="s">
        <v>41</v>
      </c>
      <c r="C5" s="8"/>
      <c r="D5" s="8"/>
    </row>
    <row r="6" spans="1:4">
      <c r="A6" s="8"/>
      <c r="B6" s="8"/>
      <c r="C6" s="8"/>
      <c r="D6" s="8"/>
    </row>
    <row r="7" spans="1:4">
      <c r="A7" s="8" t="s">
        <v>15</v>
      </c>
      <c r="B7" s="8" t="s">
        <v>6</v>
      </c>
      <c r="C7" s="8" t="s">
        <v>16</v>
      </c>
      <c r="D7" s="8"/>
    </row>
    <row r="8" spans="1:4" s="6" customFormat="1">
      <c r="A8" s="9">
        <v>40391</v>
      </c>
      <c r="B8" s="8">
        <v>257</v>
      </c>
      <c r="C8" s="8">
        <v>0.2</v>
      </c>
      <c r="D8" s="8"/>
    </row>
    <row r="9" spans="1:4" s="5" customFormat="1">
      <c r="A9" s="9">
        <v>40422</v>
      </c>
      <c r="B9" s="8">
        <v>146</v>
      </c>
      <c r="C9" s="8">
        <v>0</v>
      </c>
      <c r="D9" s="8"/>
    </row>
    <row r="10" spans="1:4">
      <c r="A10" s="9">
        <v>40452</v>
      </c>
      <c r="B10" s="8">
        <v>16</v>
      </c>
      <c r="C10" s="8">
        <v>0.2</v>
      </c>
      <c r="D10" s="8"/>
    </row>
    <row r="11" spans="1:4">
      <c r="A11" s="9">
        <v>40483</v>
      </c>
      <c r="B11" s="8">
        <v>0</v>
      </c>
      <c r="C11" s="8">
        <v>0.03</v>
      </c>
      <c r="D11" s="8"/>
    </row>
    <row r="12" spans="1:4">
      <c r="A12" s="9">
        <v>40513</v>
      </c>
      <c r="B12" s="8">
        <v>0</v>
      </c>
      <c r="C12" s="8">
        <v>0.2</v>
      </c>
      <c r="D12" s="8"/>
    </row>
    <row r="13" spans="1:4">
      <c r="A13" s="9">
        <v>40544</v>
      </c>
      <c r="B13" s="8">
        <v>0</v>
      </c>
      <c r="C13" s="8">
        <v>0.6</v>
      </c>
      <c r="D13" s="8"/>
    </row>
    <row r="14" spans="1:4">
      <c r="A14" s="9">
        <v>40575</v>
      </c>
      <c r="B14" s="8">
        <v>0</v>
      </c>
      <c r="C14" s="8">
        <v>0</v>
      </c>
      <c r="D14" s="8"/>
    </row>
    <row r="15" spans="1:4">
      <c r="A15" s="9">
        <v>40603</v>
      </c>
      <c r="B15" s="8">
        <v>0</v>
      </c>
      <c r="C15" s="8">
        <v>0</v>
      </c>
      <c r="D15" s="8"/>
    </row>
    <row r="16" spans="1:4">
      <c r="A16" s="9">
        <v>40634</v>
      </c>
      <c r="B16" s="8">
        <v>13</v>
      </c>
      <c r="C16" s="8">
        <v>0.03</v>
      </c>
      <c r="D16" s="8"/>
    </row>
    <row r="17" spans="1:4">
      <c r="A17" s="9">
        <v>40664</v>
      </c>
      <c r="B17" s="8">
        <v>86</v>
      </c>
      <c r="C17" s="8">
        <v>0.03</v>
      </c>
      <c r="D17" s="8"/>
    </row>
    <row r="18" spans="1:4">
      <c r="A18" s="9">
        <v>40695</v>
      </c>
      <c r="B18" s="8">
        <v>157</v>
      </c>
      <c r="C18" s="8">
        <v>0</v>
      </c>
      <c r="D18" s="8"/>
    </row>
    <row r="19" spans="1:4">
      <c r="A19" s="9">
        <v>40725</v>
      </c>
      <c r="B19" s="8">
        <v>329</v>
      </c>
      <c r="C19" s="8">
        <v>0</v>
      </c>
      <c r="D19" s="8"/>
    </row>
    <row r="20" spans="1:4">
      <c r="A20" s="9">
        <v>40756</v>
      </c>
      <c r="B20" s="8">
        <v>215</v>
      </c>
      <c r="C20" s="8">
        <v>0</v>
      </c>
      <c r="D20" s="8"/>
    </row>
    <row r="21" spans="1:4">
      <c r="A21" s="9">
        <v>40787</v>
      </c>
      <c r="B21" s="8">
        <v>115</v>
      </c>
      <c r="C21" s="8">
        <v>0.03</v>
      </c>
      <c r="D21" s="8"/>
    </row>
    <row r="22" spans="1:4">
      <c r="A22" s="9">
        <v>40817</v>
      </c>
      <c r="B22" s="8">
        <v>17</v>
      </c>
      <c r="C22" s="8">
        <v>7</v>
      </c>
      <c r="D22" s="8"/>
    </row>
    <row r="23" spans="1:4">
      <c r="A23" s="9">
        <v>40848</v>
      </c>
      <c r="B23" s="8">
        <v>1</v>
      </c>
      <c r="C23" s="8">
        <v>3</v>
      </c>
      <c r="D23" s="8"/>
    </row>
    <row r="24" spans="1:4">
      <c r="A24" s="9">
        <v>40878</v>
      </c>
      <c r="B24" s="8">
        <v>0</v>
      </c>
      <c r="C24" s="8">
        <v>0.03</v>
      </c>
      <c r="D24" s="8"/>
    </row>
    <row r="25" spans="1:4">
      <c r="A25" s="9">
        <v>40909</v>
      </c>
      <c r="B25" s="8">
        <v>0</v>
      </c>
      <c r="C25" s="8">
        <v>0</v>
      </c>
      <c r="D25" s="8"/>
    </row>
    <row r="26" spans="1:4">
      <c r="A26" s="9">
        <v>40940</v>
      </c>
      <c r="B26" s="8">
        <v>0</v>
      </c>
      <c r="C26" s="8">
        <v>0.03</v>
      </c>
      <c r="D26" s="8"/>
    </row>
    <row r="27" spans="1:4">
      <c r="A27" s="9">
        <v>40969</v>
      </c>
      <c r="B27" s="8">
        <v>22</v>
      </c>
      <c r="C27" s="8">
        <v>2</v>
      </c>
      <c r="D27" s="8"/>
    </row>
    <row r="28" spans="1:4">
      <c r="A28" s="9">
        <v>41000</v>
      </c>
      <c r="B28" s="8">
        <v>27</v>
      </c>
      <c r="C28" s="8">
        <v>2</v>
      </c>
      <c r="D28" s="8"/>
    </row>
    <row r="29" spans="1:4">
      <c r="A29" s="9">
        <v>41030</v>
      </c>
      <c r="B29" s="8">
        <v>104</v>
      </c>
      <c r="C29" s="8">
        <v>0.06</v>
      </c>
      <c r="D29" s="8"/>
    </row>
    <row r="30" spans="1:4">
      <c r="A30" s="9">
        <v>41061</v>
      </c>
      <c r="B30" s="8">
        <v>162</v>
      </c>
      <c r="C30" s="8">
        <v>0.03</v>
      </c>
      <c r="D30" s="8"/>
    </row>
    <row r="31" spans="1:4">
      <c r="A31" s="9">
        <v>41091</v>
      </c>
      <c r="B31" s="8">
        <v>333</v>
      </c>
      <c r="C31" s="8">
        <v>0.2</v>
      </c>
      <c r="D31" s="8"/>
    </row>
    <row r="32" spans="1:4">
      <c r="A32" s="9">
        <v>41122</v>
      </c>
      <c r="B32" s="8">
        <v>266</v>
      </c>
      <c r="C32" s="8">
        <v>0.03</v>
      </c>
      <c r="D32" s="8"/>
    </row>
    <row r="33" spans="1:4">
      <c r="A33" s="8"/>
      <c r="B33" s="8"/>
      <c r="C33" s="8"/>
      <c r="D33" s="8"/>
    </row>
    <row r="34" spans="1:4">
      <c r="A34" s="8"/>
      <c r="B34" s="8"/>
      <c r="C34" s="8"/>
      <c r="D34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4"/>
  <sheetViews>
    <sheetView topLeftCell="C4" workbookViewId="0">
      <selection activeCell="T21" sqref="T21"/>
    </sheetView>
  </sheetViews>
  <sheetFormatPr defaultRowHeight="15"/>
  <cols>
    <col min="4" max="5" width="9.140625" style="8"/>
    <col min="14" max="14" width="16.7109375" bestFit="1" customWidth="1"/>
    <col min="19" max="19" width="16.7109375" bestFit="1" customWidth="1"/>
  </cols>
  <sheetData>
    <row r="1" spans="1:22">
      <c r="A1" s="8" t="s">
        <v>74</v>
      </c>
      <c r="B1" s="8"/>
      <c r="C1" s="8"/>
      <c r="F1" s="8"/>
      <c r="G1" s="8"/>
      <c r="H1" s="8"/>
      <c r="I1" s="8"/>
      <c r="J1" s="8"/>
      <c r="K1" s="8"/>
      <c r="L1" s="8"/>
      <c r="M1" s="8"/>
      <c r="N1" s="8"/>
    </row>
    <row r="2" spans="1:22">
      <c r="A2" s="8"/>
      <c r="B2" s="8"/>
      <c r="C2" s="8"/>
      <c r="F2" s="8"/>
      <c r="G2" s="8"/>
      <c r="H2" s="8"/>
      <c r="I2" s="8"/>
      <c r="J2" s="8"/>
      <c r="K2" s="8"/>
      <c r="L2" s="8"/>
      <c r="M2" s="8"/>
      <c r="N2" s="8"/>
    </row>
    <row r="3" spans="1:22">
      <c r="A3" s="8"/>
      <c r="B3" s="8"/>
      <c r="C3" s="8"/>
      <c r="F3" s="8"/>
      <c r="G3" s="8"/>
      <c r="H3" s="8"/>
      <c r="I3" s="8"/>
      <c r="J3" s="8"/>
      <c r="K3" s="8"/>
      <c r="L3" s="8"/>
      <c r="M3" s="8"/>
      <c r="N3" s="8"/>
    </row>
    <row r="4" spans="1:22">
      <c r="A4" s="8"/>
      <c r="B4" s="8"/>
      <c r="C4" s="8" t="s">
        <v>83</v>
      </c>
      <c r="F4" s="8" t="str">
        <f>HDD!B4</f>
        <v>WESTFIELD BARNES MUNICIPAL, MA, US (72.72W,42.16N)</v>
      </c>
      <c r="G4" s="8"/>
      <c r="H4" s="8"/>
      <c r="I4" s="8"/>
      <c r="J4" s="72" t="s">
        <v>80</v>
      </c>
      <c r="K4" s="72"/>
      <c r="L4" s="72"/>
      <c r="M4" s="51"/>
      <c r="N4" s="8"/>
    </row>
    <row r="5" spans="1:22" ht="26.25">
      <c r="A5" s="8" t="s">
        <v>75</v>
      </c>
      <c r="B5" s="8" t="s">
        <v>76</v>
      </c>
      <c r="C5" s="8" t="s">
        <v>84</v>
      </c>
      <c r="F5" s="8" t="s">
        <v>77</v>
      </c>
      <c r="G5" s="8" t="s">
        <v>78</v>
      </c>
      <c r="H5" s="8" t="s">
        <v>79</v>
      </c>
      <c r="I5" s="8"/>
      <c r="J5" s="52"/>
      <c r="K5" s="52" t="s">
        <v>81</v>
      </c>
      <c r="L5" s="52" t="s">
        <v>82</v>
      </c>
      <c r="M5" s="53"/>
      <c r="N5" s="8"/>
    </row>
    <row r="6" spans="1:22">
      <c r="A6" s="8"/>
      <c r="B6" s="8"/>
      <c r="C6" s="8"/>
      <c r="D6" s="8" t="s">
        <v>85</v>
      </c>
      <c r="E6" s="8" t="s">
        <v>86</v>
      </c>
      <c r="F6" s="8"/>
      <c r="G6" s="8"/>
      <c r="H6" s="8"/>
      <c r="I6" s="8"/>
      <c r="J6" s="51"/>
      <c r="K6" s="51"/>
      <c r="L6" s="51"/>
      <c r="M6" s="51" t="s">
        <v>88</v>
      </c>
      <c r="N6" s="8" t="s">
        <v>89</v>
      </c>
      <c r="P6" s="8" t="s">
        <v>89</v>
      </c>
    </row>
    <row r="7" spans="1:22">
      <c r="A7" s="8"/>
      <c r="B7" s="8"/>
      <c r="C7" s="8"/>
      <c r="F7" s="8"/>
      <c r="G7" s="8"/>
      <c r="H7" s="8"/>
      <c r="I7" s="8"/>
      <c r="J7" s="54"/>
      <c r="K7" s="55"/>
      <c r="L7" s="55"/>
      <c r="M7" s="55" t="s">
        <v>91</v>
      </c>
      <c r="N7" s="8" t="s">
        <v>90</v>
      </c>
      <c r="O7" s="8" t="s">
        <v>87</v>
      </c>
      <c r="P7" s="8" t="s">
        <v>31</v>
      </c>
      <c r="Q7" s="8" t="s">
        <v>87</v>
      </c>
      <c r="S7" s="8" t="s">
        <v>93</v>
      </c>
    </row>
    <row r="8" spans="1:22">
      <c r="A8" s="1">
        <f>'Energy Use'!B19</f>
        <v>40735</v>
      </c>
      <c r="B8" s="8"/>
      <c r="C8" s="12"/>
      <c r="D8" s="12"/>
      <c r="E8" s="12"/>
      <c r="F8" s="8">
        <f>CDD!B19</f>
        <v>329</v>
      </c>
      <c r="G8" s="8">
        <f>HDD!B19</f>
        <v>16</v>
      </c>
      <c r="H8" s="8"/>
      <c r="I8" s="8"/>
      <c r="J8" s="56"/>
      <c r="K8" s="57">
        <v>95</v>
      </c>
      <c r="L8" s="57">
        <v>11</v>
      </c>
      <c r="M8" s="58"/>
      <c r="N8" s="8"/>
      <c r="P8" s="8" t="s">
        <v>84</v>
      </c>
      <c r="S8" s="8" t="s">
        <v>18</v>
      </c>
      <c r="T8" s="8" t="s">
        <v>95</v>
      </c>
      <c r="U8" s="8" t="s">
        <v>21</v>
      </c>
      <c r="V8" s="8" t="s">
        <v>94</v>
      </c>
    </row>
    <row r="9" spans="1:22">
      <c r="A9" s="1">
        <f>'Energy Use'!B20</f>
        <v>40766</v>
      </c>
      <c r="B9" s="8"/>
      <c r="C9" s="12"/>
      <c r="D9" s="12"/>
      <c r="E9" s="12"/>
      <c r="F9" s="8">
        <f>CDD!B20</f>
        <v>215</v>
      </c>
      <c r="G9" s="8">
        <f>HDD!B20</f>
        <v>34</v>
      </c>
      <c r="H9" s="8"/>
      <c r="I9" s="8"/>
      <c r="J9" s="59"/>
      <c r="K9" s="58">
        <v>207</v>
      </c>
      <c r="L9" s="58">
        <v>8</v>
      </c>
      <c r="M9" s="67">
        <f t="shared" ref="M9:M14" si="0">0.1201*L9+524.79</f>
        <v>525.75079999999991</v>
      </c>
      <c r="N9" s="8"/>
      <c r="S9" s="32"/>
      <c r="T9" s="33"/>
      <c r="U9" s="33"/>
      <c r="V9" s="34"/>
    </row>
    <row r="10" spans="1:22">
      <c r="A10" s="1">
        <f>'Energy Use'!B21</f>
        <v>40797</v>
      </c>
      <c r="B10" s="8"/>
      <c r="C10" s="12"/>
      <c r="D10" s="12"/>
      <c r="E10" s="12"/>
      <c r="F10" s="8">
        <f>CDD!B21</f>
        <v>115</v>
      </c>
      <c r="G10" s="8">
        <f>HDD!B21</f>
        <v>87</v>
      </c>
      <c r="H10" s="8"/>
      <c r="I10" s="8"/>
      <c r="J10" s="59"/>
      <c r="K10" s="58">
        <v>72</v>
      </c>
      <c r="L10" s="58">
        <v>77</v>
      </c>
      <c r="M10" s="68">
        <f t="shared" si="0"/>
        <v>534.03769999999997</v>
      </c>
      <c r="N10" s="8"/>
      <c r="S10" s="35"/>
      <c r="T10" s="19"/>
      <c r="U10" s="19"/>
      <c r="V10" s="36"/>
    </row>
    <row r="11" spans="1:22">
      <c r="A11" s="1">
        <f>'Energy Use'!B22</f>
        <v>40827</v>
      </c>
      <c r="B11" s="8"/>
      <c r="C11" s="12"/>
      <c r="D11" s="12"/>
      <c r="E11" s="12"/>
      <c r="F11" s="8">
        <f>CDD!B22</f>
        <v>17</v>
      </c>
      <c r="G11" s="8">
        <f>HDD!B22</f>
        <v>429</v>
      </c>
      <c r="H11" s="8"/>
      <c r="I11" s="8"/>
      <c r="J11" s="61"/>
      <c r="K11" s="55">
        <v>6</v>
      </c>
      <c r="L11" s="55">
        <v>422</v>
      </c>
      <c r="M11" s="68">
        <f t="shared" si="0"/>
        <v>575.47219999999993</v>
      </c>
      <c r="N11" s="8"/>
      <c r="S11" s="35"/>
      <c r="T11" s="19"/>
      <c r="U11" s="19"/>
      <c r="V11" s="36"/>
    </row>
    <row r="12" spans="1:22">
      <c r="A12" s="1">
        <f>'Energy Use'!B23</f>
        <v>40858</v>
      </c>
      <c r="B12" s="8"/>
      <c r="C12" s="12"/>
      <c r="D12" s="12"/>
      <c r="E12" s="12"/>
      <c r="F12" s="8">
        <f>CDD!B23</f>
        <v>1</v>
      </c>
      <c r="G12" s="8">
        <f>HDD!B23</f>
        <v>610</v>
      </c>
      <c r="H12" s="8"/>
      <c r="I12" s="8"/>
      <c r="J12" s="61"/>
      <c r="K12" s="55">
        <v>0</v>
      </c>
      <c r="L12" s="55">
        <v>757</v>
      </c>
      <c r="M12" s="68">
        <f t="shared" si="0"/>
        <v>615.70569999999998</v>
      </c>
      <c r="N12" s="8"/>
      <c r="S12" s="35"/>
      <c r="T12" s="19"/>
      <c r="U12" s="19"/>
      <c r="V12" s="36"/>
    </row>
    <row r="13" spans="1:22">
      <c r="A13" s="1">
        <f>'Energy Use'!B24</f>
        <v>40888</v>
      </c>
      <c r="B13" s="8"/>
      <c r="C13" s="12"/>
      <c r="D13" s="12"/>
      <c r="E13" s="12"/>
      <c r="F13" s="8">
        <f>CDD!B24</f>
        <v>0</v>
      </c>
      <c r="G13" s="8">
        <f>HDD!B24</f>
        <v>906</v>
      </c>
      <c r="H13" s="8"/>
      <c r="I13" s="8"/>
      <c r="J13" s="61"/>
      <c r="K13" s="55">
        <v>0</v>
      </c>
      <c r="L13" s="55">
        <v>1005</v>
      </c>
      <c r="M13" s="68">
        <f t="shared" si="0"/>
        <v>645.4905</v>
      </c>
      <c r="N13" s="8"/>
      <c r="S13" s="35"/>
      <c r="T13" s="19"/>
      <c r="U13" s="19"/>
      <c r="V13" s="36"/>
    </row>
    <row r="14" spans="1:22">
      <c r="A14" s="1">
        <f>'Energy Use'!B25</f>
        <v>40920</v>
      </c>
      <c r="B14" s="8"/>
      <c r="C14" s="12"/>
      <c r="D14" s="12"/>
      <c r="E14" s="12"/>
      <c r="F14" s="8">
        <f>CDD!B25</f>
        <v>0</v>
      </c>
      <c r="G14" s="8">
        <f>HDD!B25</f>
        <v>1071</v>
      </c>
      <c r="H14" s="8"/>
      <c r="I14" s="8"/>
      <c r="J14" s="61"/>
      <c r="K14" s="55">
        <v>0</v>
      </c>
      <c r="L14" s="55">
        <v>1481</v>
      </c>
      <c r="M14" s="69">
        <f t="shared" si="0"/>
        <v>702.65809999999999</v>
      </c>
      <c r="N14" s="8"/>
      <c r="S14" s="26">
        <f>SUM(M9:M14)+SUM(E15:E20)</f>
        <v>6704.887048051567</v>
      </c>
      <c r="T14" s="27">
        <f>S14*'Energy Use'!$E$3</f>
        <v>22.883779494999995</v>
      </c>
      <c r="U14" s="19">
        <f>SUM(M9:M14)*'Energy Use'!$E$4+SUM(E15:E20)*'Energy Use'!$E$5</f>
        <v>15272.78743430999</v>
      </c>
      <c r="V14" s="28">
        <f>U14*'Energy Use'!$E$3</f>
        <v>52.126023513299991</v>
      </c>
    </row>
    <row r="15" spans="1:22">
      <c r="A15" s="1">
        <f>'Energy Use'!B26</f>
        <v>40940</v>
      </c>
      <c r="B15" s="8"/>
      <c r="C15" s="12"/>
      <c r="D15" s="12">
        <f>'Energy Use'!M26</f>
        <v>735</v>
      </c>
      <c r="E15" s="12">
        <f>'Energy Use'!G26</f>
        <v>556.69498974509236</v>
      </c>
      <c r="F15" s="8">
        <f>CDD!B26</f>
        <v>0</v>
      </c>
      <c r="G15" s="8">
        <f>HDD!B26</f>
        <v>890</v>
      </c>
      <c r="H15" s="8"/>
      <c r="I15" s="8"/>
      <c r="J15" s="61"/>
      <c r="K15" s="55">
        <v>0</v>
      </c>
      <c r="L15" s="55">
        <v>1121</v>
      </c>
      <c r="M15" s="60">
        <f>0.1201*L15+524.79</f>
        <v>659.4221</v>
      </c>
      <c r="N15" s="17">
        <f>M15+E15</f>
        <v>1216.1170897450925</v>
      </c>
      <c r="O15" s="12">
        <f>N15*'Energy Use'!$E$3</f>
        <v>4.1506076273000003</v>
      </c>
      <c r="P15" s="17">
        <f>M15*'Energy Use'!$E$4+E15*'Energy Use'!$E$5</f>
        <v>2785.3294682631117</v>
      </c>
      <c r="Q15" s="11">
        <f>P15*'Energy Use'!$E$3</f>
        <v>9.5063294751819996</v>
      </c>
      <c r="S15" s="35"/>
      <c r="T15" s="19"/>
      <c r="U15" s="19"/>
      <c r="V15" s="36"/>
    </row>
    <row r="16" spans="1:22">
      <c r="A16" s="1">
        <f>'Energy Use'!B27</f>
        <v>40969</v>
      </c>
      <c r="B16" s="8"/>
      <c r="C16" s="12"/>
      <c r="D16" s="12">
        <f>'Energy Use'!M27</f>
        <v>449.83299999999997</v>
      </c>
      <c r="E16" s="12">
        <f>'Energy Use'!G27</f>
        <v>410.19630823322598</v>
      </c>
      <c r="F16" s="8">
        <f>CDD!B27</f>
        <v>22</v>
      </c>
      <c r="G16" s="8">
        <f>HDD!B27</f>
        <v>626</v>
      </c>
      <c r="H16" s="8"/>
      <c r="I16" s="8"/>
      <c r="J16" s="61"/>
      <c r="K16" s="55">
        <v>0</v>
      </c>
      <c r="L16" s="55">
        <v>749</v>
      </c>
      <c r="M16" s="60">
        <f t="shared" ref="M16:M20" si="1">0.1201*L16+524.79</f>
        <v>614.74489999999992</v>
      </c>
      <c r="N16" s="17">
        <f t="shared" ref="N16:N20" si="2">M16+E16</f>
        <v>1024.941208233226</v>
      </c>
      <c r="O16" s="12">
        <f>N16*'Energy Use'!$E$3</f>
        <v>3.4981243437000002</v>
      </c>
      <c r="P16" s="17">
        <f>M16*'Energy Use'!$E$4+E16*'Energy Use'!$E$5</f>
        <v>2482.7235007201871</v>
      </c>
      <c r="Q16" s="11">
        <f>P16*'Energy Use'!$E$3</f>
        <v>8.4735353079579987</v>
      </c>
      <c r="S16" s="35"/>
      <c r="T16" s="19"/>
      <c r="U16" s="19"/>
      <c r="V16" s="36"/>
    </row>
    <row r="17" spans="1:22">
      <c r="A17" s="1">
        <f>'Energy Use'!B28</f>
        <v>41000</v>
      </c>
      <c r="B17" s="8"/>
      <c r="C17" s="12"/>
      <c r="D17" s="12">
        <f>'Energy Use'!M28</f>
        <v>610.92200000000003</v>
      </c>
      <c r="E17" s="12">
        <f>'Energy Use'!G28</f>
        <v>556.69498974509236</v>
      </c>
      <c r="F17" s="8">
        <f>CDD!B28</f>
        <v>27</v>
      </c>
      <c r="G17" s="8">
        <f>HDD!B28</f>
        <v>441</v>
      </c>
      <c r="H17" s="8"/>
      <c r="I17" s="8"/>
      <c r="J17" s="61"/>
      <c r="K17" s="55">
        <v>0</v>
      </c>
      <c r="L17" s="55">
        <v>566</v>
      </c>
      <c r="M17" s="60">
        <f t="shared" si="1"/>
        <v>592.76659999999993</v>
      </c>
      <c r="N17" s="17">
        <f t="shared" si="2"/>
        <v>1149.4615897450922</v>
      </c>
      <c r="O17" s="12">
        <f>N17*'Energy Use'!$E$3</f>
        <v>3.9231124057999995</v>
      </c>
      <c r="P17" s="17">
        <f>M17*'Energy Use'!$E$4+E17*'Energy Use'!$E$5</f>
        <v>2562.7000982631116</v>
      </c>
      <c r="Q17" s="11">
        <f>P17*'Energy Use'!$E$3</f>
        <v>8.7464954353719992</v>
      </c>
      <c r="S17" s="35"/>
      <c r="T17" s="19"/>
      <c r="U17" s="19"/>
      <c r="V17" s="36"/>
    </row>
    <row r="18" spans="1:22">
      <c r="A18" s="1">
        <f>'Energy Use'!B29</f>
        <v>41030</v>
      </c>
      <c r="B18" s="8"/>
      <c r="C18" s="12"/>
      <c r="D18" s="12">
        <f>'Energy Use'!M29</f>
        <v>475.82799999999997</v>
      </c>
      <c r="E18" s="12">
        <f>'Energy Use'!G29</f>
        <v>585.99472604746563</v>
      </c>
      <c r="F18" s="8">
        <f>CDD!B29</f>
        <v>104</v>
      </c>
      <c r="G18" s="8">
        <f>HDD!B29</f>
        <v>160</v>
      </c>
      <c r="H18" s="8"/>
      <c r="I18" s="8"/>
      <c r="J18" s="61"/>
      <c r="K18" s="55">
        <v>11</v>
      </c>
      <c r="L18" s="55">
        <v>237</v>
      </c>
      <c r="M18" s="60">
        <f t="shared" si="1"/>
        <v>553.25369999999998</v>
      </c>
      <c r="N18" s="17">
        <f t="shared" si="2"/>
        <v>1139.2484260474657</v>
      </c>
      <c r="O18" s="12">
        <f>N18*'Energy Use'!$E$3</f>
        <v>3.8882548781000001</v>
      </c>
      <c r="P18" s="17">
        <f>M18*'Energy Use'!$E$4+E18*'Energy Use'!$E$5</f>
        <v>2461.4038361716966</v>
      </c>
      <c r="Q18" s="11">
        <f>P18*'Energy Use'!$E$3</f>
        <v>8.4007712928539995</v>
      </c>
      <c r="S18" s="35"/>
      <c r="T18" s="19"/>
      <c r="U18" s="19"/>
      <c r="V18" s="36"/>
    </row>
    <row r="19" spans="1:22">
      <c r="A19" s="1">
        <f>'Energy Use'!B30</f>
        <v>41061</v>
      </c>
      <c r="B19" s="8"/>
      <c r="C19" s="12"/>
      <c r="D19" s="12">
        <f>'Energy Use'!M30</f>
        <v>495.60500000000002</v>
      </c>
      <c r="E19" s="12">
        <f>'Energy Use'!G30</f>
        <v>527.39525344271908</v>
      </c>
      <c r="F19" s="8">
        <f>CDD!B30</f>
        <v>162</v>
      </c>
      <c r="G19" s="8">
        <f>HDD!B30</f>
        <v>87</v>
      </c>
      <c r="H19" s="8"/>
      <c r="I19" s="8"/>
      <c r="J19" s="61"/>
      <c r="K19" s="55">
        <v>109</v>
      </c>
      <c r="L19" s="55">
        <v>82</v>
      </c>
      <c r="M19" s="60">
        <f t="shared" si="1"/>
        <v>534.63819999999998</v>
      </c>
      <c r="N19" s="17">
        <f t="shared" si="2"/>
        <v>1062.0334534427191</v>
      </c>
      <c r="O19" s="12">
        <f>N19*'Energy Use'!$E$3</f>
        <v>3.6247201765999999</v>
      </c>
      <c r="P19" s="17">
        <f>M19*'Energy Use'!$E$4+E19*'Energy Use'!$E$5</f>
        <v>2337.8744183545268</v>
      </c>
      <c r="Q19" s="11">
        <f>P19*'Energy Use'!$E$3</f>
        <v>7.9791653898439998</v>
      </c>
      <c r="S19" s="35"/>
      <c r="T19" s="19"/>
      <c r="U19" s="19"/>
      <c r="V19" s="36"/>
    </row>
    <row r="20" spans="1:22">
      <c r="A20" s="1">
        <f>'Energy Use'!B31</f>
        <v>41101</v>
      </c>
      <c r="B20" s="8"/>
      <c r="C20" s="12"/>
      <c r="D20" s="12">
        <f>'Energy Use'!M31</f>
        <v>648.14800000000002</v>
      </c>
      <c r="E20" s="12">
        <f>'Energy Use'!G31</f>
        <v>468.79578083797253</v>
      </c>
      <c r="F20" s="8">
        <f>CDD!B31</f>
        <v>333</v>
      </c>
      <c r="G20" s="8">
        <f>HDD!B31</f>
        <v>15</v>
      </c>
      <c r="H20" s="8"/>
      <c r="I20" s="8"/>
      <c r="J20" s="56"/>
      <c r="K20" s="57">
        <v>95</v>
      </c>
      <c r="L20" s="57">
        <v>11</v>
      </c>
      <c r="M20" s="63">
        <f t="shared" si="1"/>
        <v>526.11109999999996</v>
      </c>
      <c r="N20" s="66">
        <f t="shared" si="2"/>
        <v>994.90688083797249</v>
      </c>
      <c r="O20" s="30">
        <f>N20*'Energy Use'!$E$3</f>
        <v>3.3956171842999998</v>
      </c>
      <c r="P20" s="66">
        <f>M20*'Energy Use'!$E$4+E20*'Energy Use'!$E$5</f>
        <v>2248.040256537357</v>
      </c>
      <c r="Q20" s="65">
        <f>P20*'Energy Use'!$E$3</f>
        <v>7.6725613955619991</v>
      </c>
      <c r="S20" s="35"/>
      <c r="T20" s="19"/>
      <c r="U20" s="19"/>
      <c r="V20" s="36"/>
    </row>
    <row r="21" spans="1:22">
      <c r="A21" s="8"/>
      <c r="B21" s="8"/>
      <c r="C21" s="8"/>
      <c r="F21" s="8"/>
      <c r="G21" s="8">
        <f>SUM(G9:G20)</f>
        <v>5356</v>
      </c>
      <c r="H21" s="8"/>
      <c r="I21" s="8"/>
      <c r="J21" s="61"/>
      <c r="K21" s="58"/>
      <c r="L21" s="58">
        <f>SUM(L9:L20)</f>
        <v>6516</v>
      </c>
      <c r="M21" s="62">
        <f>SUM(M15:M20)</f>
        <v>3480.9365999999995</v>
      </c>
      <c r="N21" s="17">
        <f>SUM(N15:N20)</f>
        <v>6586.7086480515682</v>
      </c>
      <c r="O21" s="12">
        <f>SUM(O15:O20)</f>
        <v>22.480436615799999</v>
      </c>
      <c r="Q21" s="11">
        <f>SUM(Q15:Q20)</f>
        <v>50.778858296772</v>
      </c>
      <c r="S21" s="37"/>
      <c r="T21" s="48"/>
      <c r="U21" s="49"/>
      <c r="V21" s="50"/>
    </row>
    <row r="22" spans="1:22">
      <c r="A22" s="8"/>
      <c r="B22" s="8"/>
      <c r="C22" s="8"/>
      <c r="F22" s="8"/>
      <c r="G22" s="8"/>
      <c r="H22" s="8"/>
      <c r="I22" s="8"/>
      <c r="J22" s="61"/>
      <c r="K22" s="55"/>
      <c r="L22" s="55"/>
      <c r="M22" s="62"/>
      <c r="N22" s="17">
        <f>SUM(D15:D20)+SUM(E15:E20)</f>
        <v>6521.1080480515684</v>
      </c>
    </row>
    <row r="24" spans="1:22">
      <c r="N24" s="64">
        <f>(N22-N21)/N22</f>
        <v>-1.005973210635583E-2</v>
      </c>
    </row>
  </sheetData>
  <mergeCells count="1">
    <mergeCell ref="J4:L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Gas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2013-03-05T18:01:16Z</dcterms:modified>
</cp:coreProperties>
</file>