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2980" windowHeight="9525" activeTab="3"/>
  </bookViews>
  <sheets>
    <sheet name="Pre-Retrofit" sheetId="9" r:id="rId1"/>
    <sheet name="Gas" sheetId="1" r:id="rId2"/>
    <sheet name="Elec" sheetId="2" r:id="rId3"/>
    <sheet name="Energy Use" sheetId="8" r:id="rId4"/>
    <sheet name="HDD" sheetId="5" r:id="rId5"/>
    <sheet name="CDD" sheetId="4" r:id="rId6"/>
    <sheet name="Weather Lin Regr Analysis" sheetId="3" r:id="rId7"/>
  </sheets>
  <calcPr calcId="125725"/>
</workbook>
</file>

<file path=xl/calcChain.xml><?xml version="1.0" encoding="utf-8"?>
<calcChain xmlns="http://schemas.openxmlformats.org/spreadsheetml/2006/main">
  <c r="S32" i="8"/>
  <c r="R32"/>
  <c r="S14" i="3"/>
  <c r="Q14"/>
  <c r="P14"/>
  <c r="K14"/>
  <c r="K13"/>
  <c r="K12"/>
  <c r="K11"/>
  <c r="K10"/>
  <c r="K9"/>
  <c r="S39" i="8"/>
  <c r="P49" i="9"/>
  <c r="M49"/>
  <c r="S49"/>
  <c r="K49"/>
  <c r="Q49"/>
  <c r="D49"/>
  <c r="E49"/>
  <c r="H49"/>
  <c r="J49"/>
  <c r="C49"/>
  <c r="N49"/>
  <c r="T49"/>
  <c r="G49"/>
  <c r="C17"/>
  <c r="L21" i="3"/>
  <c r="N21"/>
  <c r="N20"/>
  <c r="N19"/>
  <c r="N18"/>
  <c r="N17"/>
  <c r="N16"/>
  <c r="N15"/>
  <c r="L20"/>
  <c r="L19"/>
  <c r="L18"/>
  <c r="L17"/>
  <c r="L16"/>
  <c r="L15"/>
  <c r="M20"/>
  <c r="M19"/>
  <c r="M18"/>
  <c r="M17"/>
  <c r="M16"/>
  <c r="M15"/>
  <c r="M21"/>
  <c r="K21"/>
  <c r="K20"/>
  <c r="K19"/>
  <c r="K18"/>
  <c r="K17"/>
  <c r="K16"/>
  <c r="K15"/>
  <c r="E20"/>
  <c r="E19"/>
  <c r="E18"/>
  <c r="E17"/>
  <c r="E16"/>
  <c r="E15"/>
  <c r="E14"/>
  <c r="E13"/>
  <c r="E12"/>
  <c r="E11"/>
  <c r="E10"/>
  <c r="E9"/>
  <c r="E8"/>
  <c r="D20"/>
  <c r="D19"/>
  <c r="D18"/>
  <c r="D17"/>
  <c r="D16"/>
  <c r="D15"/>
  <c r="D14"/>
  <c r="D13"/>
  <c r="D12"/>
  <c r="D11"/>
  <c r="D10"/>
  <c r="D9"/>
  <c r="D8"/>
  <c r="C20"/>
  <c r="C19"/>
  <c r="C18"/>
  <c r="C17"/>
  <c r="C16"/>
  <c r="C15"/>
  <c r="K22"/>
  <c r="K24"/>
  <c r="A20"/>
  <c r="A19"/>
  <c r="A18"/>
  <c r="A17"/>
  <c r="A16"/>
  <c r="A15"/>
  <c r="A14"/>
  <c r="A13"/>
  <c r="A12"/>
  <c r="A11"/>
  <c r="A10"/>
  <c r="A9"/>
  <c r="A8"/>
  <c r="D4"/>
  <c r="M37" i="8"/>
  <c r="K31"/>
  <c r="K30"/>
  <c r="K29"/>
  <c r="K28"/>
  <c r="K27"/>
  <c r="K26"/>
  <c r="K25"/>
  <c r="K24"/>
  <c r="K23"/>
  <c r="K22"/>
  <c r="K21"/>
  <c r="K19"/>
  <c r="K18"/>
  <c r="K17"/>
  <c r="K16"/>
  <c r="K15"/>
  <c r="K14"/>
  <c r="K13"/>
  <c r="K12"/>
  <c r="K11"/>
  <c r="K10"/>
  <c r="K20"/>
  <c r="M47" i="9"/>
  <c r="K47"/>
  <c r="D47"/>
  <c r="G47"/>
  <c r="P47"/>
  <c r="N46"/>
  <c r="M46"/>
  <c r="K46"/>
  <c r="J46"/>
  <c r="E37"/>
  <c r="E36"/>
  <c r="E35"/>
  <c r="E34"/>
  <c r="E33"/>
  <c r="E47"/>
  <c r="H47"/>
  <c r="Q47"/>
  <c r="S47"/>
  <c r="N47"/>
  <c r="T47"/>
  <c r="D33" i="2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K16" i="9"/>
  <c r="C46"/>
  <c r="D46"/>
  <c r="S46"/>
  <c r="G33" i="2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0"/>
  <c r="F10"/>
  <c r="G9"/>
  <c r="F9"/>
  <c r="G11"/>
  <c r="F11"/>
  <c r="D32" i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8"/>
  <c r="D7"/>
  <c r="D9"/>
  <c r="C31" i="8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G46" i="9"/>
  <c r="P46"/>
  <c r="E46"/>
  <c r="T46"/>
  <c r="L8" i="8"/>
  <c r="K8"/>
  <c r="U12"/>
  <c r="T12"/>
  <c r="U11"/>
  <c r="T11"/>
  <c r="U10"/>
  <c r="T10"/>
  <c r="N12"/>
  <c r="N11"/>
  <c r="M11"/>
  <c r="N10"/>
  <c r="L12"/>
  <c r="L11"/>
  <c r="L10"/>
  <c r="M10"/>
  <c r="D10"/>
  <c r="G10"/>
  <c r="D12"/>
  <c r="G12"/>
  <c r="D11"/>
  <c r="G11"/>
  <c r="M12"/>
  <c r="N31"/>
  <c r="N30"/>
  <c r="N29"/>
  <c r="N28"/>
  <c r="N27"/>
  <c r="N26"/>
  <c r="N25"/>
  <c r="N24"/>
  <c r="N23"/>
  <c r="N22"/>
  <c r="M22"/>
  <c r="N21"/>
  <c r="N20"/>
  <c r="M20"/>
  <c r="N19"/>
  <c r="N18"/>
  <c r="M18"/>
  <c r="N17"/>
  <c r="N16"/>
  <c r="M16"/>
  <c r="N15"/>
  <c r="N14"/>
  <c r="M14"/>
  <c r="N13"/>
  <c r="L31"/>
  <c r="M31"/>
  <c r="L30"/>
  <c r="L29"/>
  <c r="M29"/>
  <c r="L28"/>
  <c r="L27"/>
  <c r="M27"/>
  <c r="L26"/>
  <c r="L25"/>
  <c r="M25"/>
  <c r="L24"/>
  <c r="L23"/>
  <c r="L22"/>
  <c r="L21"/>
  <c r="L20"/>
  <c r="L19"/>
  <c r="L18"/>
  <c r="L17"/>
  <c r="L16"/>
  <c r="L15"/>
  <c r="L14"/>
  <c r="L13"/>
  <c r="D31"/>
  <c r="E1"/>
  <c r="E2"/>
  <c r="E3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M30"/>
  <c r="M28"/>
  <c r="M26"/>
  <c r="M23"/>
  <c r="M21"/>
  <c r="M19"/>
  <c r="D30"/>
  <c r="D29"/>
  <c r="D28"/>
  <c r="D27"/>
  <c r="D26"/>
  <c r="D25"/>
  <c r="D24"/>
  <c r="D23"/>
  <c r="D22"/>
  <c r="D21"/>
  <c r="D20"/>
  <c r="D19"/>
  <c r="M15"/>
  <c r="M17"/>
  <c r="M13"/>
  <c r="D13"/>
  <c r="D14"/>
  <c r="D15"/>
  <c r="D16"/>
  <c r="D17"/>
  <c r="D18"/>
  <c r="D35"/>
  <c r="M24"/>
  <c r="P24"/>
  <c r="M35"/>
  <c r="H46" i="9"/>
  <c r="Q46"/>
  <c r="P29" i="8"/>
  <c r="P13"/>
  <c r="P15"/>
  <c r="P17"/>
  <c r="P21"/>
  <c r="P23"/>
  <c r="P25"/>
  <c r="P27"/>
  <c r="E11"/>
  <c r="H11"/>
  <c r="W11"/>
  <c r="P14"/>
  <c r="P18"/>
  <c r="P20"/>
  <c r="P22"/>
  <c r="P10"/>
  <c r="W12"/>
  <c r="E10"/>
  <c r="H10"/>
  <c r="E12"/>
  <c r="H12"/>
  <c r="P26"/>
  <c r="P28"/>
  <c r="P16"/>
  <c r="P30"/>
  <c r="P19"/>
  <c r="P31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R35"/>
  <c r="Z35"/>
  <c r="S35"/>
  <c r="G35"/>
  <c r="E35"/>
  <c r="S11"/>
  <c r="S10"/>
  <c r="AA10"/>
  <c r="R25"/>
  <c r="Z25"/>
  <c r="S29"/>
  <c r="AA29"/>
  <c r="S28"/>
  <c r="AA28"/>
  <c r="R15"/>
  <c r="Z15"/>
  <c r="R28"/>
  <c r="Z28"/>
  <c r="S17"/>
  <c r="AA17"/>
  <c r="W24"/>
  <c r="W28"/>
  <c r="W29"/>
  <c r="W30"/>
  <c r="W31"/>
  <c r="R29"/>
  <c r="Z29"/>
  <c r="R21"/>
  <c r="Z21"/>
  <c r="S31"/>
  <c r="AA31"/>
  <c r="R14"/>
  <c r="Z14"/>
  <c r="W13"/>
  <c r="W17"/>
  <c r="W18"/>
  <c r="W22"/>
  <c r="W23"/>
  <c r="W27"/>
  <c r="S27"/>
  <c r="AA27"/>
  <c r="S30"/>
  <c r="AA30"/>
  <c r="S24"/>
  <c r="AA24"/>
  <c r="R27"/>
  <c r="Z27"/>
  <c r="R23"/>
  <c r="Z23"/>
  <c r="R17"/>
  <c r="Z17"/>
  <c r="R13"/>
  <c r="Z13"/>
  <c r="S23"/>
  <c r="AA23"/>
  <c r="S13"/>
  <c r="AA13"/>
  <c r="R11"/>
  <c r="Z11"/>
  <c r="W15"/>
  <c r="W21"/>
  <c r="W25"/>
  <c r="S14"/>
  <c r="AA14"/>
  <c r="S25"/>
  <c r="AA25"/>
  <c r="S21"/>
  <c r="AA21"/>
  <c r="S15"/>
  <c r="AA15"/>
  <c r="AA11"/>
  <c r="W20"/>
  <c r="S20"/>
  <c r="AA20"/>
  <c r="R20"/>
  <c r="Z20"/>
  <c r="W16"/>
  <c r="W14"/>
  <c r="R10"/>
  <c r="Z10"/>
  <c r="S26"/>
  <c r="AA26"/>
  <c r="S22"/>
  <c r="AA22"/>
  <c r="S18"/>
  <c r="AA18"/>
  <c r="P11"/>
  <c r="X11"/>
  <c r="P12"/>
  <c r="W19"/>
  <c r="W26"/>
  <c r="S16"/>
  <c r="AA16"/>
  <c r="R22"/>
  <c r="Z22"/>
  <c r="R18"/>
  <c r="Z18"/>
  <c r="R12"/>
  <c r="Z12"/>
  <c r="S12"/>
  <c r="AA12"/>
  <c r="W10"/>
  <c r="R31"/>
  <c r="Z31"/>
  <c r="R30"/>
  <c r="Z30"/>
  <c r="R24"/>
  <c r="Z24"/>
  <c r="X12"/>
  <c r="X10"/>
  <c r="R26"/>
  <c r="Z26"/>
  <c r="R19"/>
  <c r="Z19"/>
  <c r="S19"/>
  <c r="AA19"/>
  <c r="R16"/>
  <c r="Z16"/>
  <c r="H13"/>
  <c r="X13"/>
  <c r="H14"/>
  <c r="X14"/>
  <c r="H15"/>
  <c r="X15"/>
  <c r="H16"/>
  <c r="X16"/>
  <c r="H17"/>
  <c r="X17"/>
  <c r="H18"/>
  <c r="X18"/>
  <c r="H19"/>
  <c r="X19"/>
  <c r="H20"/>
  <c r="X20"/>
  <c r="H21"/>
  <c r="X21"/>
  <c r="H22"/>
  <c r="X22"/>
  <c r="H23"/>
  <c r="X23"/>
  <c r="H24"/>
  <c r="X24"/>
  <c r="H25"/>
  <c r="X25"/>
  <c r="H26"/>
  <c r="X26"/>
  <c r="H27"/>
  <c r="X27"/>
  <c r="H28"/>
  <c r="X28"/>
  <c r="H29"/>
  <c r="X29"/>
  <c r="H30"/>
  <c r="X30"/>
  <c r="H31"/>
  <c r="X31"/>
  <c r="AA35"/>
  <c r="H35"/>
  <c r="X40"/>
  <c r="Z40"/>
  <c r="W40"/>
  <c r="AA40"/>
</calcChain>
</file>

<file path=xl/sharedStrings.xml><?xml version="1.0" encoding="utf-8"?>
<sst xmlns="http://schemas.openxmlformats.org/spreadsheetml/2006/main" count="152" uniqueCount="98">
  <si>
    <t>therms</t>
  </si>
  <si>
    <t>HDD</t>
  </si>
  <si>
    <t>Electricity used</t>
  </si>
  <si>
    <t>(negative)</t>
  </si>
  <si>
    <t>Electric Consumption (kWh)</t>
  </si>
  <si>
    <t>PV Production (kWh)</t>
  </si>
  <si>
    <t>CDD</t>
  </si>
  <si>
    <t>Description:</t>
  </si>
  <si>
    <t>Fahrenheit-based heating degree days for a base temperature of 65F</t>
  </si>
  <si>
    <t>Source:</t>
  </si>
  <si>
    <t>www.degreedays.net (using temperature data from www.wunderground.com)</t>
  </si>
  <si>
    <t>Accuracy:</t>
  </si>
  <si>
    <t>Estimates were made to account for missing data: the "% Estimated" column shows how much each figure was affected (0% is best, 100% is worst)</t>
  </si>
  <si>
    <t>Station:</t>
  </si>
  <si>
    <t>Station ID:</t>
  </si>
  <si>
    <t>Month starting</t>
  </si>
  <si>
    <t>% Estimated</t>
  </si>
  <si>
    <t>Fahrenheit-based cooling degree days for a base temperature of 65F</t>
  </si>
  <si>
    <t>site kwh</t>
  </si>
  <si>
    <t>site Mbtu</t>
  </si>
  <si>
    <t>source Mbtu</t>
  </si>
  <si>
    <t>source kwh</t>
  </si>
  <si>
    <t>kwh to Mbtu</t>
  </si>
  <si>
    <t>therm to MBTU</t>
  </si>
  <si>
    <t>natural gas source/site</t>
  </si>
  <si>
    <t>grid electricity source/site</t>
  </si>
  <si>
    <t>Mbtu to kwh</t>
  </si>
  <si>
    <t>site KWH</t>
  </si>
  <si>
    <t>source KWH</t>
  </si>
  <si>
    <t>Total kwh</t>
  </si>
  <si>
    <t>site</t>
  </si>
  <si>
    <t>source</t>
  </si>
  <si>
    <t>Total Mbtu</t>
  </si>
  <si>
    <t>Retrofit Completed</t>
  </si>
  <si>
    <t>House</t>
  </si>
  <si>
    <t>Note: Electric Consumption does not capture thermal solar energy, if any, so neither do totals</t>
  </si>
  <si>
    <t>Gloucester</t>
  </si>
  <si>
    <t>Cunningham</t>
  </si>
  <si>
    <t>Beverly</t>
  </si>
  <si>
    <t>BEVERLY MUNICIPAL AIRPORT, MA, US (70.92W,42.58N)</t>
  </si>
  <si>
    <t>KBVY</t>
  </si>
  <si>
    <t>Heating Oil</t>
  </si>
  <si>
    <t>Del Date</t>
  </si>
  <si>
    <t>Gallons</t>
  </si>
  <si>
    <t>Gloucester Pre-Retrofit from Application</t>
  </si>
  <si>
    <t>Gals/year</t>
  </si>
  <si>
    <t>kwh</t>
  </si>
  <si>
    <t>Read date</t>
  </si>
  <si>
    <t>Jun 2009- May 2010</t>
  </si>
  <si>
    <t>Electricrity usage (kwh)</t>
  </si>
  <si>
    <t>WHY ARE THERE GAPS? IS THIS INCLUSIVE OR NOT?</t>
  </si>
  <si>
    <t>Project start</t>
  </si>
  <si>
    <t>Totals 6 months</t>
  </si>
  <si>
    <t>POST-RETROFIT</t>
  </si>
  <si>
    <t xml:space="preserve">PRE_RETROFIT </t>
  </si>
  <si>
    <t>gal oil to Mbtu</t>
  </si>
  <si>
    <t>40 lb pellet bag to Mbtu</t>
  </si>
  <si>
    <t>heating oil source/site</t>
  </si>
  <si>
    <t>pellet source/site</t>
  </si>
  <si>
    <t xml:space="preserve">source </t>
  </si>
  <si>
    <t xml:space="preserve">Period </t>
  </si>
  <si>
    <t>oil used</t>
  </si>
  <si>
    <t>Mbtu</t>
  </si>
  <si>
    <t>The electricity and oil use are across different years</t>
  </si>
  <si>
    <t>Mar/Jun 09 - Feb/May 10</t>
  </si>
  <si>
    <t>BEopt model original</t>
  </si>
  <si>
    <t>MIN usage in 6 months</t>
  </si>
  <si>
    <t>Linear Regression on Post Retrofit data</t>
  </si>
  <si>
    <t>Actual</t>
  </si>
  <si>
    <t xml:space="preserve">Month </t>
  </si>
  <si>
    <t>Date</t>
  </si>
  <si>
    <t>Actual kWh</t>
  </si>
  <si>
    <t>Actual CDD</t>
  </si>
  <si>
    <t>Actual HDD</t>
  </si>
  <si>
    <t>Comments</t>
  </si>
  <si>
    <t>BEopt 1.3 kWh</t>
  </si>
  <si>
    <t>BEopt 1.3 CDD</t>
  </si>
  <si>
    <t>BEopt 1.3 HDD</t>
  </si>
  <si>
    <t xml:space="preserve">Predicted (BEopt 1.3) </t>
  </si>
  <si>
    <t>Electricity</t>
  </si>
  <si>
    <t>USE BEOPT for OIL</t>
  </si>
  <si>
    <t>kWh Normalized site</t>
  </si>
  <si>
    <t>kWh Normalized source</t>
  </si>
  <si>
    <t>MMBtu Normalized site</t>
  </si>
  <si>
    <t>Feb 12 2009 - Feb 8 2010</t>
  </si>
  <si>
    <t>Sep 09 - Aug 10</t>
  </si>
  <si>
    <t xml:space="preserve">FOR WEATHERIZATION, NEED TO USE BEOPT FOR OIL SINCE DO NOT HAVE DISTRIBUTION NOR </t>
  </si>
  <si>
    <t>HDD FOR THE TIME PERIOD</t>
  </si>
  <si>
    <t>WEATHERIZATION</t>
  </si>
  <si>
    <t>BEopt oil only</t>
  </si>
  <si>
    <t>PRE-RETROFIT</t>
  </si>
  <si>
    <t>WEATHER NORMALIZED</t>
  </si>
  <si>
    <t>6 mo MMBtu</t>
  </si>
  <si>
    <t>Projected 12 month normalized</t>
  </si>
  <si>
    <t>site MMBtu</t>
  </si>
  <si>
    <t>source MMBtu</t>
  </si>
  <si>
    <t>6  mo</t>
  </si>
  <si>
    <t>6 mo</t>
  </si>
</sst>
</file>

<file path=xl/styles.xml><?xml version="1.0" encoding="utf-8"?>
<styleSheet xmlns="http://schemas.openxmlformats.org/spreadsheetml/2006/main">
  <numFmts count="1">
    <numFmt numFmtId="164" formatCode="&quot;$&quot;#,##0.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indexed="8"/>
      <name val="Verdana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17" fontId="0" fillId="0" borderId="0" xfId="0" applyNumberFormat="1"/>
    <xf numFmtId="0" fontId="18" fillId="0" borderId="10" xfId="42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9" fillId="0" borderId="0" xfId="43" applyAlignment="1" applyProtection="1"/>
    <xf numFmtId="4" fontId="0" fillId="0" borderId="0" xfId="0" applyNumberFormat="1"/>
    <xf numFmtId="2" fontId="18" fillId="0" borderId="10" xfId="42" applyNumberFormat="1" applyFont="1" applyFill="1" applyBorder="1" applyAlignment="1">
      <alignment wrapText="1"/>
    </xf>
    <xf numFmtId="2" fontId="0" fillId="0" borderId="0" xfId="0" applyNumberFormat="1"/>
    <xf numFmtId="0" fontId="18" fillId="33" borderId="10" xfId="42" applyNumberFormat="1" applyFont="1" applyFill="1" applyBorder="1" applyAlignment="1">
      <alignment wrapText="1"/>
    </xf>
    <xf numFmtId="49" fontId="18" fillId="33" borderId="10" xfId="42" applyNumberFormat="1" applyFont="1" applyFill="1" applyBorder="1" applyAlignment="1">
      <alignment wrapText="1"/>
    </xf>
    <xf numFmtId="0" fontId="18" fillId="0" borderId="0" xfId="42" applyNumberFormat="1" applyFont="1" applyFill="1" applyBorder="1" applyAlignment="1">
      <alignment wrapText="1"/>
    </xf>
    <xf numFmtId="1" fontId="0" fillId="0" borderId="0" xfId="0" applyNumberFormat="1"/>
    <xf numFmtId="0" fontId="0" fillId="0" borderId="0" xfId="0" applyBorder="1"/>
    <xf numFmtId="17" fontId="0" fillId="0" borderId="11" xfId="0" applyNumberFormat="1" applyFill="1" applyBorder="1"/>
    <xf numFmtId="0" fontId="0" fillId="0" borderId="12" xfId="0" applyFill="1" applyBorder="1"/>
    <xf numFmtId="17" fontId="0" fillId="0" borderId="13" xfId="0" applyNumberFormat="1" applyFill="1" applyBorder="1"/>
    <xf numFmtId="0" fontId="0" fillId="0" borderId="14" xfId="0" applyFill="1" applyBorder="1"/>
    <xf numFmtId="17" fontId="0" fillId="0" borderId="15" xfId="0" applyNumberFormat="1" applyFill="1" applyBorder="1"/>
    <xf numFmtId="0" fontId="0" fillId="0" borderId="16" xfId="0" applyFill="1" applyBorder="1"/>
    <xf numFmtId="2" fontId="0" fillId="0" borderId="0" xfId="0" applyNumberFormat="1" applyFill="1"/>
    <xf numFmtId="17" fontId="0" fillId="0" borderId="11" xfId="0" applyNumberFormat="1" applyBorder="1"/>
    <xf numFmtId="0" fontId="0" fillId="0" borderId="12" xfId="0" applyBorder="1"/>
    <xf numFmtId="17" fontId="0" fillId="0" borderId="13" xfId="0" applyNumberFormat="1" applyBorder="1"/>
    <xf numFmtId="0" fontId="0" fillId="0" borderId="14" xfId="0" applyBorder="1"/>
    <xf numFmtId="17" fontId="0" fillId="0" borderId="15" xfId="0" applyNumberFormat="1" applyBorder="1"/>
    <xf numFmtId="0" fontId="0" fillId="0" borderId="16" xfId="0" applyBorder="1"/>
    <xf numFmtId="14" fontId="20" fillId="0" borderId="17" xfId="0" applyNumberFormat="1" applyFont="1" applyBorder="1" applyAlignment="1">
      <alignment horizontal="left" wrapText="1"/>
    </xf>
    <xf numFmtId="0" fontId="20" fillId="0" borderId="17" xfId="0" applyFont="1" applyBorder="1" applyAlignment="1">
      <alignment horizontal="left" wrapText="1"/>
    </xf>
    <xf numFmtId="3" fontId="20" fillId="0" borderId="17" xfId="0" applyNumberFormat="1" applyFont="1" applyBorder="1" applyAlignment="1">
      <alignment horizontal="left" wrapText="1"/>
    </xf>
    <xf numFmtId="2" fontId="0" fillId="0" borderId="11" xfId="0" applyNumberFormat="1" applyBorder="1"/>
    <xf numFmtId="2" fontId="0" fillId="0" borderId="18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0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9" xfId="0" applyNumberFormat="1" applyBorder="1"/>
    <xf numFmtId="2" fontId="0" fillId="0" borderId="16" xfId="0" applyNumberFormat="1" applyBorder="1"/>
    <xf numFmtId="0" fontId="0" fillId="0" borderId="11" xfId="0" applyBorder="1"/>
    <xf numFmtId="0" fontId="0" fillId="0" borderId="18" xfId="0" applyBorder="1"/>
    <xf numFmtId="0" fontId="0" fillId="0" borderId="13" xfId="0" applyBorder="1"/>
    <xf numFmtId="0" fontId="0" fillId="0" borderId="15" xfId="0" applyBorder="1"/>
    <xf numFmtId="0" fontId="0" fillId="0" borderId="19" xfId="0" applyBorder="1"/>
    <xf numFmtId="17" fontId="0" fillId="0" borderId="18" xfId="0" applyNumberFormat="1" applyBorder="1"/>
    <xf numFmtId="4" fontId="0" fillId="0" borderId="0" xfId="0" applyNumberFormat="1" applyBorder="1"/>
    <xf numFmtId="2" fontId="18" fillId="0" borderId="0" xfId="42" applyNumberFormat="1" applyFont="1" applyFill="1" applyBorder="1" applyAlignment="1">
      <alignment wrapText="1"/>
    </xf>
    <xf numFmtId="0" fontId="18" fillId="0" borderId="0" xfId="42" applyNumberFormat="1" applyFont="1" applyFill="1" applyBorder="1" applyAlignment="1"/>
    <xf numFmtId="2" fontId="0" fillId="0" borderId="20" xfId="0" applyNumberFormat="1" applyBorder="1"/>
    <xf numFmtId="2" fontId="0" fillId="0" borderId="21" xfId="0" applyNumberFormat="1" applyBorder="1"/>
    <xf numFmtId="0" fontId="0" fillId="0" borderId="21" xfId="0" applyBorder="1"/>
    <xf numFmtId="2" fontId="0" fillId="0" borderId="22" xfId="0" applyNumberFormat="1" applyBorder="1"/>
    <xf numFmtId="164" fontId="21" fillId="0" borderId="19" xfId="42" applyNumberFormat="1" applyFont="1" applyFill="1" applyBorder="1" applyAlignment="1">
      <alignment horizontal="center" wrapText="1"/>
    </xf>
    <xf numFmtId="10" fontId="0" fillId="0" borderId="0" xfId="0" applyNumberFormat="1"/>
    <xf numFmtId="164" fontId="21" fillId="0" borderId="0" xfId="42" applyNumberFormat="1" applyFont="1" applyFill="1" applyBorder="1" applyAlignment="1">
      <alignment horizontal="center" wrapText="1"/>
    </xf>
    <xf numFmtId="0" fontId="0" fillId="0" borderId="20" xfId="0" applyBorder="1"/>
    <xf numFmtId="17" fontId="0" fillId="0" borderId="21" xfId="0" applyNumberFormat="1" applyBorder="1"/>
    <xf numFmtId="2" fontId="0" fillId="0" borderId="21" xfId="0" applyNumberFormat="1" applyFill="1" applyBorder="1"/>
    <xf numFmtId="2" fontId="18" fillId="0" borderId="21" xfId="42" applyNumberFormat="1" applyFont="1" applyFill="1" applyBorder="1" applyAlignment="1">
      <alignment wrapText="1"/>
    </xf>
    <xf numFmtId="0" fontId="18" fillId="0" borderId="21" xfId="42" applyNumberFormat="1" applyFont="1" applyFill="1" applyBorder="1" applyAlignment="1">
      <alignment wrapText="1"/>
    </xf>
    <xf numFmtId="0" fontId="0" fillId="0" borderId="20" xfId="0" applyFill="1" applyBorder="1"/>
    <xf numFmtId="2" fontId="0" fillId="0" borderId="23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3" fontId="18" fillId="0" borderId="0" xfId="42" applyNumberFormat="1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Gloucester Single</a:t>
            </a:r>
            <a:r>
              <a:rPr lang="en-US" baseline="0"/>
              <a:t> Family Natural Gas Use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032501086105655"/>
          <c:y val="0.13928441236512262"/>
          <c:w val="0.70199463053389743"/>
          <c:h val="0.59817062797705756"/>
        </c:manualLayout>
      </c:layout>
      <c:barChart>
        <c:barDir val="col"/>
        <c:grouping val="clustered"/>
        <c:ser>
          <c:idx val="0"/>
          <c:order val="0"/>
          <c:tx>
            <c:strRef>
              <c:f>Gas!$C$5</c:f>
              <c:strCache>
                <c:ptCount val="1"/>
                <c:pt idx="0">
                  <c:v>therms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Gas!$A$11:$A$30</c:f>
              <c:numCache>
                <c:formatCode>mmm-yy</c:formatCode>
                <c:ptCount val="20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</c:numCache>
            </c:numRef>
          </c:cat>
          <c:val>
            <c:numRef>
              <c:f>Gas!$C$11:$C$30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65160704"/>
        <c:axId val="65162240"/>
      </c:barChart>
      <c:lineChart>
        <c:grouping val="standard"/>
        <c:ser>
          <c:idx val="1"/>
          <c:order val="1"/>
          <c:tx>
            <c:strRef>
              <c:f>Gas!$D$5</c:f>
              <c:strCache>
                <c:ptCount val="1"/>
                <c:pt idx="0">
                  <c:v>HDD</c:v>
                </c:pt>
              </c:strCache>
            </c:strRef>
          </c:tx>
          <c:cat>
            <c:numRef>
              <c:f>Gas!$A$11:$A$17</c:f>
              <c:numCache>
                <c:formatCode>mmm-yy</c:formatCode>
                <c:ptCount val="7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</c:numCache>
            </c:numRef>
          </c:cat>
          <c:val>
            <c:numRef>
              <c:f>Gas!$D$11:$D$30</c:f>
              <c:numCache>
                <c:formatCode>General</c:formatCode>
                <c:ptCount val="20"/>
                <c:pt idx="0">
                  <c:v>1094</c:v>
                </c:pt>
                <c:pt idx="1">
                  <c:v>1277</c:v>
                </c:pt>
                <c:pt idx="2">
                  <c:v>1058</c:v>
                </c:pt>
                <c:pt idx="3">
                  <c:v>909</c:v>
                </c:pt>
                <c:pt idx="4">
                  <c:v>538</c:v>
                </c:pt>
                <c:pt idx="5">
                  <c:v>313</c:v>
                </c:pt>
                <c:pt idx="6">
                  <c:v>119</c:v>
                </c:pt>
                <c:pt idx="7">
                  <c:v>11</c:v>
                </c:pt>
                <c:pt idx="8">
                  <c:v>25</c:v>
                </c:pt>
                <c:pt idx="9">
                  <c:v>100</c:v>
                </c:pt>
                <c:pt idx="10">
                  <c:v>376</c:v>
                </c:pt>
                <c:pt idx="11">
                  <c:v>532</c:v>
                </c:pt>
                <c:pt idx="12">
                  <c:v>846</c:v>
                </c:pt>
                <c:pt idx="13">
                  <c:v>1016</c:v>
                </c:pt>
                <c:pt idx="14">
                  <c:v>878</c:v>
                </c:pt>
                <c:pt idx="15">
                  <c:v>650</c:v>
                </c:pt>
                <c:pt idx="16">
                  <c:v>452</c:v>
                </c:pt>
                <c:pt idx="17">
                  <c:v>249</c:v>
                </c:pt>
                <c:pt idx="18">
                  <c:v>128</c:v>
                </c:pt>
                <c:pt idx="19">
                  <c:v>14</c:v>
                </c:pt>
              </c:numCache>
            </c:numRef>
          </c:val>
        </c:ser>
        <c:marker val="1"/>
        <c:axId val="65166720"/>
        <c:axId val="65164416"/>
      </c:lineChart>
      <c:dateAx>
        <c:axId val="65160704"/>
        <c:scaling>
          <c:orientation val="minMax"/>
        </c:scaling>
        <c:axPos val="b"/>
        <c:numFmt formatCode="mmm-yy" sourceLinked="1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65162240"/>
        <c:crosses val="autoZero"/>
        <c:auto val="1"/>
        <c:lblOffset val="100"/>
        <c:baseTimeUnit val="months"/>
      </c:dateAx>
      <c:valAx>
        <c:axId val="651622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Therms/month</a:t>
                </a:r>
              </a:p>
            </c:rich>
          </c:tx>
        </c:title>
        <c:numFmt formatCode="0.00" sourceLinked="1"/>
        <c:tickLblPos val="nextTo"/>
        <c:crossAx val="65160704"/>
        <c:crosses val="autoZero"/>
        <c:crossBetween val="between"/>
      </c:valAx>
      <c:valAx>
        <c:axId val="65164416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FF0000"/>
                    </a:solidFill>
                  </a:rPr>
                  <a:t>Heating Degree Days </a:t>
                </a:r>
                <a:r>
                  <a:rPr lang="en-US" baseline="0">
                    <a:solidFill>
                      <a:srgbClr val="FF0000"/>
                    </a:solidFill>
                  </a:rPr>
                  <a:t> Base 65 F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  <c:crossAx val="65166720"/>
        <c:crosses val="max"/>
        <c:crossBetween val="between"/>
      </c:valAx>
      <c:dateAx>
        <c:axId val="65166720"/>
        <c:scaling>
          <c:orientation val="minMax"/>
        </c:scaling>
        <c:delete val="1"/>
        <c:axPos val="b"/>
        <c:numFmt formatCode="mmm-yy" sourceLinked="1"/>
        <c:tickLblPos val="none"/>
        <c:crossAx val="6516441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35853118474607149"/>
          <c:y val="0.88564237630019071"/>
          <c:w val="0.26684364683247547"/>
          <c:h val="9.1209475551667266E-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Gloucester Single</a:t>
            </a:r>
            <a:r>
              <a:rPr lang="en-US" sz="1200" baseline="0"/>
              <a:t> Family Electrical Consumption </a:t>
            </a:r>
            <a:endParaRPr lang="en-US" sz="1200"/>
          </a:p>
        </c:rich>
      </c:tx>
      <c:layout>
        <c:manualLayout>
          <c:xMode val="edge"/>
          <c:yMode val="edge"/>
          <c:x val="0.13145144936353154"/>
          <c:y val="7.6608095040751487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434"/>
        </c:manualLayout>
      </c:layout>
      <c:barChart>
        <c:barDir val="col"/>
        <c:grouping val="clustered"/>
        <c:ser>
          <c:idx val="0"/>
          <c:order val="0"/>
          <c:tx>
            <c:strRef>
              <c:f>Elec!$D$5</c:f>
              <c:strCache>
                <c:ptCount val="1"/>
                <c:pt idx="0">
                  <c:v>Electric Consumption (kWh)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Elec!$A$14:$A$32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Elec!$D$14:$D$32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72</c:v>
                </c:pt>
                <c:pt idx="9">
                  <c:v>168</c:v>
                </c:pt>
                <c:pt idx="10">
                  <c:v>637</c:v>
                </c:pt>
                <c:pt idx="11">
                  <c:v>1027</c:v>
                </c:pt>
                <c:pt idx="12">
                  <c:v>1438</c:v>
                </c:pt>
                <c:pt idx="13">
                  <c:v>1380</c:v>
                </c:pt>
                <c:pt idx="14">
                  <c:v>1181</c:v>
                </c:pt>
                <c:pt idx="15">
                  <c:v>819</c:v>
                </c:pt>
                <c:pt idx="16">
                  <c:v>723</c:v>
                </c:pt>
                <c:pt idx="17">
                  <c:v>735</c:v>
                </c:pt>
                <c:pt idx="18">
                  <c:v>889</c:v>
                </c:pt>
              </c:numCache>
            </c:numRef>
          </c:val>
        </c:ser>
        <c:ser>
          <c:idx val="1"/>
          <c:order val="1"/>
          <c:tx>
            <c:strRef>
              <c:f>Elec!$E$5</c:f>
              <c:strCache>
                <c:ptCount val="1"/>
                <c:pt idx="0">
                  <c:v>PV Production (kWh)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Elec!$A$14:$A$32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Elec!$E$14:$E$32</c:f>
              <c:numCache>
                <c:formatCode>General</c:formatCode>
                <c:ptCount val="19"/>
              </c:numCache>
            </c:numRef>
          </c:val>
        </c:ser>
        <c:gapWidth val="202"/>
        <c:overlap val="100"/>
        <c:axId val="65318912"/>
        <c:axId val="65322368"/>
      </c:barChart>
      <c:lineChart>
        <c:grouping val="standard"/>
        <c:ser>
          <c:idx val="2"/>
          <c:order val="2"/>
          <c:tx>
            <c:strRef>
              <c:f>Elec!$F$5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Elec!$A$14:$A$19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Elec!$F$14:$F$32</c:f>
              <c:numCache>
                <c:formatCode>General</c:formatCode>
                <c:ptCount val="19"/>
                <c:pt idx="0">
                  <c:v>1277</c:v>
                </c:pt>
                <c:pt idx="1">
                  <c:v>1058</c:v>
                </c:pt>
                <c:pt idx="2">
                  <c:v>909</c:v>
                </c:pt>
                <c:pt idx="3">
                  <c:v>538</c:v>
                </c:pt>
                <c:pt idx="4">
                  <c:v>313</c:v>
                </c:pt>
                <c:pt idx="5">
                  <c:v>119</c:v>
                </c:pt>
                <c:pt idx="6">
                  <c:v>11</c:v>
                </c:pt>
                <c:pt idx="7">
                  <c:v>25</c:v>
                </c:pt>
                <c:pt idx="8">
                  <c:v>100</c:v>
                </c:pt>
                <c:pt idx="9">
                  <c:v>376</c:v>
                </c:pt>
                <c:pt idx="10">
                  <c:v>532</c:v>
                </c:pt>
                <c:pt idx="11">
                  <c:v>846</c:v>
                </c:pt>
                <c:pt idx="12">
                  <c:v>1016</c:v>
                </c:pt>
                <c:pt idx="13">
                  <c:v>878</c:v>
                </c:pt>
                <c:pt idx="14">
                  <c:v>650</c:v>
                </c:pt>
                <c:pt idx="15">
                  <c:v>452</c:v>
                </c:pt>
                <c:pt idx="16">
                  <c:v>249</c:v>
                </c:pt>
                <c:pt idx="17">
                  <c:v>128</c:v>
                </c:pt>
                <c:pt idx="18">
                  <c:v>14</c:v>
                </c:pt>
              </c:numCache>
            </c:numRef>
          </c:val>
        </c:ser>
        <c:marker val="1"/>
        <c:axId val="65318912"/>
        <c:axId val="65322368"/>
      </c:lineChart>
      <c:lineChart>
        <c:grouping val="standard"/>
        <c:ser>
          <c:idx val="3"/>
          <c:order val="3"/>
          <c:tx>
            <c:strRef>
              <c:f>Elec!$G$5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Elec!$A$14:$A$19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Elec!$G$14:$G$32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40</c:v>
                </c:pt>
                <c:pt idx="5">
                  <c:v>93</c:v>
                </c:pt>
                <c:pt idx="6">
                  <c:v>293</c:v>
                </c:pt>
                <c:pt idx="7">
                  <c:v>193</c:v>
                </c:pt>
                <c:pt idx="8">
                  <c:v>95</c:v>
                </c:pt>
                <c:pt idx="9">
                  <c:v>16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20</c:v>
                </c:pt>
                <c:pt idx="15">
                  <c:v>23</c:v>
                </c:pt>
                <c:pt idx="16">
                  <c:v>32</c:v>
                </c:pt>
                <c:pt idx="17">
                  <c:v>119</c:v>
                </c:pt>
                <c:pt idx="18">
                  <c:v>269</c:v>
                </c:pt>
              </c:numCache>
            </c:numRef>
          </c:val>
        </c:ser>
        <c:marker val="1"/>
        <c:axId val="65372160"/>
        <c:axId val="65365504"/>
      </c:lineChart>
      <c:dateAx>
        <c:axId val="65318912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65322368"/>
        <c:crosses val="autoZero"/>
        <c:auto val="1"/>
        <c:lblOffset val="100"/>
        <c:baseTimeUnit val="months"/>
      </c:dateAx>
      <c:valAx>
        <c:axId val="653223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0" sourceLinked="1"/>
        <c:tickLblPos val="nextTo"/>
        <c:crossAx val="65318912"/>
        <c:crosses val="autoZero"/>
        <c:crossBetween val="between"/>
        <c:majorUnit val="200"/>
      </c:valAx>
      <c:valAx>
        <c:axId val="65365504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65372160"/>
        <c:crosses val="max"/>
        <c:crossBetween val="between"/>
        <c:majorUnit val="20"/>
      </c:valAx>
      <c:dateAx>
        <c:axId val="65372160"/>
        <c:scaling>
          <c:orientation val="minMax"/>
        </c:scaling>
        <c:delete val="1"/>
        <c:axPos val="b"/>
        <c:numFmt formatCode="mmm-yy" sourceLinked="1"/>
        <c:tickLblPos val="none"/>
        <c:crossAx val="65365504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51"/>
          <c:y val="0.82399778974995963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032174103237096"/>
          <c:y val="6.0659813356663754E-2"/>
          <c:w val="0.71952318460192422"/>
          <c:h val="0.71186533974919852"/>
        </c:manualLayout>
      </c:layout>
      <c:barChart>
        <c:barDir val="col"/>
        <c:grouping val="clustered"/>
        <c:ser>
          <c:idx val="0"/>
          <c:order val="0"/>
          <c:tx>
            <c:v>Source MMBtu</c:v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'Energy Use'!$J$26:$J$31</c:f>
              <c:numCache>
                <c:formatCode>mmm-yy</c:formatCode>
                <c:ptCount val="6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</c:numCache>
            </c:numRef>
          </c:cat>
          <c:val>
            <c:numRef>
              <c:f>'Energy Use'!$AA$26:$AA$31</c:f>
              <c:numCache>
                <c:formatCode>0.00</c:formatCode>
                <c:ptCount val="6"/>
                <c:pt idx="0">
                  <c:v>15.731199599999998</c:v>
                </c:pt>
                <c:pt idx="1">
                  <c:v>13.462715019999999</c:v>
                </c:pt>
                <c:pt idx="2">
                  <c:v>9.3361249799999992</c:v>
                </c:pt>
                <c:pt idx="3">
                  <c:v>8.2417806599999981</c:v>
                </c:pt>
                <c:pt idx="4">
                  <c:v>8.3785737000000005</c:v>
                </c:pt>
                <c:pt idx="5">
                  <c:v>10.134084379999999</c:v>
                </c:pt>
              </c:numCache>
            </c:numRef>
          </c:val>
        </c:ser>
        <c:axId val="73142656"/>
        <c:axId val="73145344"/>
      </c:barChart>
      <c:lineChart>
        <c:grouping val="standard"/>
        <c:ser>
          <c:idx val="1"/>
          <c:order val="1"/>
          <c:tx>
            <c:v>HDD</c:v>
          </c:tx>
          <c:val>
            <c:numRef>
              <c:f>HDD!$B$26:$B$31</c:f>
              <c:numCache>
                <c:formatCode>General</c:formatCode>
                <c:ptCount val="6"/>
                <c:pt idx="0">
                  <c:v>878</c:v>
                </c:pt>
                <c:pt idx="1">
                  <c:v>650</c:v>
                </c:pt>
                <c:pt idx="2">
                  <c:v>452</c:v>
                </c:pt>
                <c:pt idx="3">
                  <c:v>249</c:v>
                </c:pt>
                <c:pt idx="4">
                  <c:v>128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v>CDD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CDD!$B$26:$B$31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23</c:v>
                </c:pt>
                <c:pt idx="3">
                  <c:v>32</c:v>
                </c:pt>
                <c:pt idx="4">
                  <c:v>119</c:v>
                </c:pt>
                <c:pt idx="5">
                  <c:v>269</c:v>
                </c:pt>
              </c:numCache>
            </c:numRef>
          </c:val>
        </c:ser>
        <c:marker val="1"/>
        <c:axId val="73637248"/>
        <c:axId val="73634944"/>
      </c:lineChart>
      <c:dateAx>
        <c:axId val="73142656"/>
        <c:scaling>
          <c:orientation val="minMax"/>
        </c:scaling>
        <c:axPos val="b"/>
        <c:numFmt formatCode="mmm-yy" sourceLinked="1"/>
        <c:tickLblPos val="nextTo"/>
        <c:crossAx val="73145344"/>
        <c:crosses val="autoZero"/>
        <c:auto val="1"/>
        <c:lblOffset val="100"/>
      </c:dateAx>
      <c:valAx>
        <c:axId val="73145344"/>
        <c:scaling>
          <c:orientation val="minMax"/>
        </c:scaling>
        <c:axPos val="l"/>
        <c:majorGridlines/>
        <c:numFmt formatCode="0" sourceLinked="0"/>
        <c:tickLblPos val="nextTo"/>
        <c:crossAx val="73142656"/>
        <c:crosses val="autoZero"/>
        <c:crossBetween val="between"/>
      </c:valAx>
      <c:valAx>
        <c:axId val="73634944"/>
        <c:scaling>
          <c:orientation val="minMax"/>
        </c:scaling>
        <c:axPos val="r"/>
        <c:numFmt formatCode="General" sourceLinked="1"/>
        <c:tickLblPos val="nextTo"/>
        <c:crossAx val="73637248"/>
        <c:crosses val="max"/>
        <c:crossBetween val="between"/>
        <c:majorUnit val="200"/>
      </c:valAx>
      <c:catAx>
        <c:axId val="73637248"/>
        <c:scaling>
          <c:orientation val="minMax"/>
        </c:scaling>
        <c:delete val="1"/>
        <c:axPos val="b"/>
        <c:tickLblPos val="none"/>
        <c:crossAx val="73634944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'Weather Lin Regr Analysis'!$E$15:$E$20</c:f>
              <c:numCache>
                <c:formatCode>General</c:formatCode>
                <c:ptCount val="6"/>
                <c:pt idx="0">
                  <c:v>878</c:v>
                </c:pt>
                <c:pt idx="1">
                  <c:v>650</c:v>
                </c:pt>
                <c:pt idx="2">
                  <c:v>452</c:v>
                </c:pt>
                <c:pt idx="3">
                  <c:v>249</c:v>
                </c:pt>
                <c:pt idx="4">
                  <c:v>128</c:v>
                </c:pt>
                <c:pt idx="5">
                  <c:v>14</c:v>
                </c:pt>
              </c:numCache>
            </c:numRef>
          </c:xVal>
          <c:yVal>
            <c:numRef>
              <c:f>'Weather Lin Regr Analysis'!$C$15:$C$20</c:f>
              <c:numCache>
                <c:formatCode>0.00</c:formatCode>
                <c:ptCount val="6"/>
                <c:pt idx="0">
                  <c:v>1380</c:v>
                </c:pt>
                <c:pt idx="1">
                  <c:v>1181</c:v>
                </c:pt>
                <c:pt idx="2">
                  <c:v>819</c:v>
                </c:pt>
                <c:pt idx="3">
                  <c:v>723</c:v>
                </c:pt>
                <c:pt idx="4">
                  <c:v>735</c:v>
                </c:pt>
                <c:pt idx="5">
                  <c:v>889</c:v>
                </c:pt>
              </c:numCache>
            </c:numRef>
          </c:yVal>
        </c:ser>
        <c:axId val="75398144"/>
        <c:axId val="91066368"/>
      </c:scatterChart>
      <c:valAx>
        <c:axId val="75398144"/>
        <c:scaling>
          <c:orientation val="minMax"/>
        </c:scaling>
        <c:axPos val="b"/>
        <c:numFmt formatCode="General" sourceLinked="1"/>
        <c:tickLblPos val="nextTo"/>
        <c:crossAx val="91066368"/>
        <c:crosses val="autoZero"/>
        <c:crossBetween val="midCat"/>
      </c:valAx>
      <c:valAx>
        <c:axId val="91066368"/>
        <c:scaling>
          <c:orientation val="minMax"/>
        </c:scaling>
        <c:axPos val="l"/>
        <c:majorGridlines/>
        <c:numFmt formatCode="0.00" sourceLinked="1"/>
        <c:tickLblPos val="nextTo"/>
        <c:crossAx val="753981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175260</xdr:rowOff>
    </xdr:from>
    <xdr:to>
      <xdr:col>15</xdr:col>
      <xdr:colOff>213360</xdr:colOff>
      <xdr:row>26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160020</xdr:rowOff>
    </xdr:from>
    <xdr:to>
      <xdr:col>17</xdr:col>
      <xdr:colOff>548640</xdr:colOff>
      <xdr:row>29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38</xdr:row>
      <xdr:rowOff>0</xdr:rowOff>
    </xdr:from>
    <xdr:to>
      <xdr:col>18</xdr:col>
      <xdr:colOff>457200</xdr:colOff>
      <xdr:row>52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0.00417</cdr:x>
      <cdr:y>0</cdr:y>
    </cdr:from>
    <cdr:to>
      <cdr:x>0.06042</cdr:x>
      <cdr:y>0.74653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876298" y="895351"/>
          <a:ext cx="2047874" cy="257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Source Energy</a:t>
          </a:r>
          <a:r>
            <a:rPr lang="en-US" sz="1000" b="1" baseline="0"/>
            <a:t> </a:t>
          </a:r>
          <a:r>
            <a:rPr lang="en-US" sz="1000" b="1"/>
            <a:t>MMBtu (monthly)</a:t>
          </a:r>
        </a:p>
      </cdr:txBody>
    </cdr:sp>
  </cdr:relSizeAnchor>
  <cdr:relSizeAnchor xmlns:cdr="http://schemas.openxmlformats.org/drawingml/2006/chartDrawing">
    <cdr:from>
      <cdr:x>0.92292</cdr:x>
      <cdr:y>0</cdr:y>
    </cdr:from>
    <cdr:to>
      <cdr:x>0.98958</cdr:x>
      <cdr:y>0.5625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3600454" y="619124"/>
          <a:ext cx="1543050" cy="304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HDD</a:t>
          </a:r>
          <a:r>
            <a:rPr lang="en-US" sz="1000" b="1" baseline="0"/>
            <a:t> &amp; CDD (65F)</a:t>
          </a:r>
          <a:endParaRPr lang="en-US" sz="10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23</xdr:row>
      <xdr:rowOff>152400</xdr:rowOff>
    </xdr:from>
    <xdr:to>
      <xdr:col>9</xdr:col>
      <xdr:colOff>0</xdr:colOff>
      <xdr:row>38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49"/>
  <sheetViews>
    <sheetView topLeftCell="A20" workbookViewId="0">
      <selection activeCell="U49" sqref="U49"/>
    </sheetView>
  </sheetViews>
  <sheetFormatPr defaultRowHeight="15"/>
  <cols>
    <col min="1" max="16384" width="9.140625" style="8"/>
  </cols>
  <sheetData>
    <row r="2" spans="1:15">
      <c r="B2" s="8" t="s">
        <v>44</v>
      </c>
      <c r="E2" s="10"/>
    </row>
    <row r="3" spans="1:15">
      <c r="B3" s="8" t="s">
        <v>37</v>
      </c>
    </row>
    <row r="5" spans="1:15">
      <c r="J5" s="69"/>
      <c r="K5" s="69"/>
    </row>
    <row r="6" spans="1:15">
      <c r="B6" s="8" t="s">
        <v>41</v>
      </c>
      <c r="I6" s="8" t="s">
        <v>49</v>
      </c>
    </row>
    <row r="7" spans="1:15">
      <c r="A7" s="8" t="s">
        <v>42</v>
      </c>
      <c r="B7" s="8" t="s">
        <v>43</v>
      </c>
      <c r="C7" s="8" t="s">
        <v>45</v>
      </c>
      <c r="I7" s="8" t="s">
        <v>50</v>
      </c>
    </row>
    <row r="8" spans="1:15">
      <c r="I8" s="8" t="s">
        <v>47</v>
      </c>
      <c r="J8" s="8" t="s">
        <v>46</v>
      </c>
    </row>
    <row r="9" spans="1:15">
      <c r="A9" s="26">
        <v>39720</v>
      </c>
      <c r="B9" s="27">
        <v>67</v>
      </c>
      <c r="C9" s="13"/>
      <c r="D9" s="1"/>
      <c r="E9" s="13"/>
      <c r="I9" s="19">
        <v>39972</v>
      </c>
      <c r="J9" s="20">
        <v>667</v>
      </c>
      <c r="L9" s="13"/>
      <c r="M9" s="1"/>
    </row>
    <row r="10" spans="1:15">
      <c r="A10" s="28">
        <v>39780</v>
      </c>
      <c r="B10" s="29">
        <v>153</v>
      </c>
      <c r="C10" s="13"/>
      <c r="D10" s="1"/>
      <c r="E10" s="13"/>
      <c r="I10" s="21">
        <v>40000</v>
      </c>
      <c r="J10" s="22">
        <v>707</v>
      </c>
      <c r="L10" s="13"/>
      <c r="M10" s="1"/>
      <c r="O10" s="13"/>
    </row>
    <row r="11" spans="1:15">
      <c r="A11" s="28">
        <v>39856</v>
      </c>
      <c r="B11" s="29">
        <v>144.9</v>
      </c>
      <c r="C11" s="13"/>
      <c r="D11" s="1"/>
      <c r="E11" s="13"/>
      <c r="I11" s="21">
        <v>40030</v>
      </c>
      <c r="J11" s="22">
        <v>913</v>
      </c>
      <c r="L11" s="13"/>
      <c r="M11" s="1"/>
      <c r="O11" s="13"/>
    </row>
    <row r="12" spans="1:15">
      <c r="A12" s="28">
        <v>39888</v>
      </c>
      <c r="B12" s="29">
        <v>156</v>
      </c>
      <c r="C12" s="13"/>
      <c r="D12" s="1"/>
      <c r="E12" s="13"/>
      <c r="I12" s="21">
        <v>40060</v>
      </c>
      <c r="J12" s="22">
        <v>2021</v>
      </c>
      <c r="L12" s="13"/>
      <c r="M12" s="1"/>
      <c r="O12" s="13"/>
    </row>
    <row r="13" spans="1:15">
      <c r="A13" s="28">
        <v>39932</v>
      </c>
      <c r="B13" s="29">
        <v>143</v>
      </c>
      <c r="C13" s="13"/>
      <c r="D13" s="1"/>
      <c r="E13" s="13"/>
      <c r="I13" s="21">
        <v>40154</v>
      </c>
      <c r="J13" s="22">
        <v>799</v>
      </c>
      <c r="L13" s="13"/>
      <c r="M13" s="1"/>
      <c r="O13" s="13"/>
    </row>
    <row r="14" spans="1:15">
      <c r="A14" s="28">
        <v>40111</v>
      </c>
      <c r="B14" s="29">
        <v>195</v>
      </c>
      <c r="C14" s="13"/>
      <c r="D14" s="1"/>
      <c r="E14" s="13"/>
      <c r="I14" s="21">
        <v>40186</v>
      </c>
      <c r="J14" s="22">
        <v>691</v>
      </c>
      <c r="L14" s="13"/>
      <c r="M14" s="1"/>
      <c r="O14" s="13"/>
    </row>
    <row r="15" spans="1:15">
      <c r="A15" s="28">
        <v>40164</v>
      </c>
      <c r="B15" s="29">
        <v>175</v>
      </c>
      <c r="C15" s="13"/>
      <c r="D15" s="1"/>
      <c r="E15" s="13"/>
      <c r="I15" s="21">
        <v>40275</v>
      </c>
      <c r="J15" s="22">
        <v>320</v>
      </c>
      <c r="L15" s="13"/>
      <c r="M15" s="1"/>
      <c r="O15" s="13"/>
    </row>
    <row r="16" spans="1:15">
      <c r="A16" s="28">
        <v>40188</v>
      </c>
      <c r="B16" s="29">
        <v>100</v>
      </c>
      <c r="C16" s="13"/>
      <c r="D16" s="1"/>
      <c r="E16" s="13"/>
      <c r="I16" s="21">
        <v>40308</v>
      </c>
      <c r="J16" s="22">
        <v>310</v>
      </c>
      <c r="K16" s="8">
        <f>SUM(J9:J16)</f>
        <v>6428</v>
      </c>
      <c r="L16" s="13" t="s">
        <v>48</v>
      </c>
      <c r="M16" s="1"/>
      <c r="O16" s="13"/>
    </row>
    <row r="17" spans="1:25">
      <c r="A17" s="28">
        <v>40217</v>
      </c>
      <c r="B17" s="29">
        <v>142</v>
      </c>
      <c r="C17" s="13">
        <f>SUM(B12:B17)</f>
        <v>911</v>
      </c>
      <c r="D17" s="1" t="s">
        <v>84</v>
      </c>
      <c r="E17" s="13"/>
      <c r="I17" s="21">
        <v>40336</v>
      </c>
      <c r="J17" s="22">
        <v>292</v>
      </c>
      <c r="L17" s="13" t="s">
        <v>85</v>
      </c>
      <c r="M17" s="1"/>
      <c r="O17" s="13"/>
    </row>
    <row r="18" spans="1:25">
      <c r="A18" s="28"/>
      <c r="B18" s="29"/>
      <c r="C18" s="13"/>
      <c r="D18" s="1"/>
      <c r="E18" s="13"/>
      <c r="I18" s="21">
        <v>40367</v>
      </c>
      <c r="J18" s="22">
        <v>306</v>
      </c>
      <c r="L18" s="13"/>
      <c r="M18" s="1"/>
      <c r="O18" s="13"/>
    </row>
    <row r="19" spans="1:25">
      <c r="A19" s="28"/>
      <c r="B19" s="29"/>
      <c r="C19" s="13"/>
      <c r="D19" s="1"/>
      <c r="E19" s="13"/>
      <c r="I19" s="21">
        <v>40396</v>
      </c>
      <c r="J19" s="22">
        <v>245</v>
      </c>
      <c r="L19" s="13"/>
      <c r="M19" s="1"/>
      <c r="O19" s="13"/>
    </row>
    <row r="20" spans="1:25">
      <c r="A20" s="28"/>
      <c r="B20" s="29"/>
      <c r="C20" s="13"/>
      <c r="D20" s="1"/>
      <c r="E20" s="13"/>
      <c r="I20" s="21"/>
      <c r="J20" s="22"/>
      <c r="L20" s="13"/>
      <c r="M20" s="1"/>
      <c r="O20" s="13"/>
    </row>
    <row r="21" spans="1:25">
      <c r="A21" s="28"/>
      <c r="B21" s="29"/>
      <c r="C21" s="13"/>
      <c r="D21" s="1"/>
      <c r="E21" s="13"/>
      <c r="F21" s="13"/>
      <c r="G21" s="13"/>
      <c r="I21" s="21"/>
      <c r="J21" s="22"/>
      <c r="L21" s="13"/>
      <c r="M21" s="1"/>
      <c r="O21" s="13"/>
    </row>
    <row r="22" spans="1:25">
      <c r="A22" s="28"/>
      <c r="B22" s="29"/>
      <c r="C22" s="13"/>
      <c r="D22" s="1"/>
      <c r="E22" s="13"/>
      <c r="I22" s="21"/>
      <c r="J22" s="22"/>
      <c r="L22" s="13"/>
      <c r="M22" s="1"/>
      <c r="O22" s="13"/>
    </row>
    <row r="23" spans="1:25">
      <c r="A23" s="28"/>
      <c r="B23" s="29"/>
      <c r="C23" s="13"/>
      <c r="D23" s="1"/>
      <c r="E23" s="13"/>
      <c r="I23" s="21"/>
      <c r="J23" s="22"/>
      <c r="L23" s="13"/>
      <c r="M23" s="1"/>
      <c r="O23" s="13"/>
    </row>
    <row r="24" spans="1:25">
      <c r="A24" s="28"/>
      <c r="B24" s="29"/>
      <c r="C24" s="13"/>
      <c r="D24" s="1"/>
      <c r="E24" s="13"/>
      <c r="I24" s="21"/>
      <c r="J24" s="22"/>
      <c r="L24" s="13"/>
      <c r="M24" s="1"/>
      <c r="O24" s="13"/>
    </row>
    <row r="25" spans="1:25">
      <c r="A25" s="28"/>
      <c r="B25" s="29"/>
      <c r="C25" s="13"/>
      <c r="D25" s="1"/>
      <c r="E25" s="13"/>
      <c r="I25" s="21"/>
      <c r="J25" s="22"/>
      <c r="L25" s="13"/>
      <c r="M25" s="1"/>
      <c r="O25" s="13"/>
    </row>
    <row r="26" spans="1:25">
      <c r="A26" s="30"/>
      <c r="B26" s="31"/>
      <c r="C26" s="13"/>
      <c r="D26" s="1"/>
      <c r="E26" s="13"/>
      <c r="I26" s="23"/>
      <c r="J26" s="24"/>
      <c r="L26" s="13"/>
      <c r="M26" s="1"/>
      <c r="O26" s="13"/>
    </row>
    <row r="27" spans="1:25">
      <c r="A27" s="30"/>
      <c r="B27" s="22"/>
      <c r="C27" s="13"/>
      <c r="I27" s="1"/>
      <c r="L27" s="13"/>
      <c r="M27" s="1"/>
      <c r="O27" s="13"/>
    </row>
    <row r="28" spans="1:25">
      <c r="A28" s="1"/>
      <c r="E28" s="13"/>
      <c r="F28" s="13"/>
      <c r="G28" s="13"/>
    </row>
    <row r="29" spans="1:25">
      <c r="A29" s="1"/>
    </row>
    <row r="30" spans="1:25">
      <c r="A30" s="1"/>
    </row>
    <row r="31" spans="1:25">
      <c r="A31" s="1"/>
    </row>
    <row r="32" spans="1:25">
      <c r="A32" s="26"/>
      <c r="B32" s="45"/>
      <c r="C32" s="45"/>
      <c r="D32" s="45"/>
      <c r="E32" s="45"/>
      <c r="F32" s="49"/>
      <c r="G32" s="45"/>
      <c r="H32" s="45"/>
      <c r="I32" s="45" t="s">
        <v>54</v>
      </c>
      <c r="J32" s="45"/>
      <c r="K32" s="45" t="s">
        <v>86</v>
      </c>
      <c r="L32" s="45"/>
      <c r="M32" s="45"/>
      <c r="N32" s="45"/>
      <c r="O32" s="45"/>
      <c r="P32" s="45"/>
      <c r="Q32" s="45"/>
      <c r="R32" s="45"/>
      <c r="S32" s="45"/>
      <c r="T32" s="27"/>
      <c r="U32" s="18"/>
      <c r="V32" s="18"/>
      <c r="W32" s="18"/>
      <c r="X32" s="18"/>
      <c r="Y32" s="18"/>
    </row>
    <row r="33" spans="1:25">
      <c r="A33" s="46"/>
      <c r="B33" s="18"/>
      <c r="C33" s="18" t="s">
        <v>26</v>
      </c>
      <c r="D33" s="18"/>
      <c r="E33" s="39">
        <f>1/E35</f>
        <v>292.99736302373282</v>
      </c>
      <c r="F33" s="18"/>
      <c r="G33" s="18"/>
      <c r="H33" s="18"/>
      <c r="I33" s="18"/>
      <c r="J33" s="18"/>
      <c r="K33" s="18" t="s">
        <v>87</v>
      </c>
      <c r="L33" s="18"/>
      <c r="M33" s="18"/>
      <c r="N33" s="18"/>
      <c r="O33" s="18"/>
      <c r="P33" s="18"/>
      <c r="Q33" s="18"/>
      <c r="R33" s="18"/>
      <c r="S33" s="18"/>
      <c r="T33" s="29"/>
      <c r="U33" s="18"/>
      <c r="V33" s="18"/>
      <c r="W33" s="18"/>
      <c r="X33" s="18"/>
      <c r="Y33" s="18"/>
    </row>
    <row r="34" spans="1:25">
      <c r="A34" s="46"/>
      <c r="B34" s="18"/>
      <c r="C34" s="18" t="s">
        <v>23</v>
      </c>
      <c r="D34" s="18"/>
      <c r="E34" s="50">
        <f>100000/1000000</f>
        <v>0.1</v>
      </c>
      <c r="F34" s="18"/>
      <c r="G34" s="18"/>
      <c r="H34" s="18"/>
      <c r="I34" s="18" t="s">
        <v>63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9"/>
      <c r="U34" s="18"/>
      <c r="V34" s="18"/>
      <c r="W34" s="18"/>
      <c r="X34" s="18"/>
      <c r="Y34" s="18"/>
    </row>
    <row r="35" spans="1:25">
      <c r="A35" s="46"/>
      <c r="B35" s="18"/>
      <c r="C35" s="18" t="s">
        <v>22</v>
      </c>
      <c r="D35" s="18"/>
      <c r="E35" s="18">
        <f>3413/1000000</f>
        <v>3.4129999999999998E-3</v>
      </c>
      <c r="F35" s="18"/>
      <c r="G35" s="18"/>
      <c r="H35" s="18"/>
      <c r="I35" s="18" t="s">
        <v>80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9"/>
      <c r="U35" s="18"/>
      <c r="V35" s="18"/>
      <c r="W35" s="18"/>
      <c r="X35" s="18"/>
      <c r="Y35" s="18"/>
    </row>
    <row r="36" spans="1:25">
      <c r="A36" s="46"/>
      <c r="B36" s="18"/>
      <c r="C36" s="18" t="s">
        <v>55</v>
      </c>
      <c r="D36" s="18"/>
      <c r="E36" s="18">
        <f>138.6905/1000</f>
        <v>0.13869049999999999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29"/>
      <c r="U36" s="18"/>
      <c r="V36" s="18"/>
      <c r="W36" s="18"/>
      <c r="X36" s="18"/>
      <c r="Y36" s="18"/>
    </row>
    <row r="37" spans="1:25">
      <c r="A37" s="46"/>
      <c r="B37" s="18" t="s">
        <v>56</v>
      </c>
      <c r="C37" s="18"/>
      <c r="D37" s="18"/>
      <c r="E37" s="18">
        <f>7.75*40/1000</f>
        <v>0.31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9"/>
      <c r="U37" s="18"/>
      <c r="V37" s="18"/>
      <c r="W37" s="18"/>
      <c r="X37" s="18"/>
      <c r="Y37" s="18"/>
    </row>
    <row r="38" spans="1:25">
      <c r="A38" s="46"/>
      <c r="B38" s="18" t="s">
        <v>25</v>
      </c>
      <c r="C38" s="18"/>
      <c r="D38" s="18"/>
      <c r="E38" s="18">
        <v>3.34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9"/>
      <c r="U38" s="18"/>
      <c r="V38" s="18"/>
      <c r="W38" s="18"/>
      <c r="X38" s="18"/>
      <c r="Y38" s="18"/>
    </row>
    <row r="39" spans="1:25">
      <c r="A39" s="46"/>
      <c r="B39" s="18" t="s">
        <v>24</v>
      </c>
      <c r="C39" s="18"/>
      <c r="D39" s="18"/>
      <c r="E39" s="18">
        <v>1.0469999999999999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29"/>
      <c r="U39" s="18"/>
      <c r="V39" s="18"/>
      <c r="W39" s="18"/>
      <c r="X39" s="18"/>
      <c r="Y39" s="18"/>
    </row>
    <row r="40" spans="1:25">
      <c r="A40" s="46"/>
      <c r="B40" s="18" t="s">
        <v>57</v>
      </c>
      <c r="C40" s="18"/>
      <c r="D40" s="18"/>
      <c r="E40" s="18">
        <v>1.01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29"/>
      <c r="U40" s="18"/>
      <c r="V40" s="18"/>
      <c r="W40" s="18"/>
      <c r="X40" s="18"/>
      <c r="Y40" s="18"/>
    </row>
    <row r="41" spans="1:25">
      <c r="A41" s="46"/>
      <c r="B41" s="18" t="s">
        <v>58</v>
      </c>
      <c r="C41" s="18"/>
      <c r="D41" s="18"/>
      <c r="E41" s="18">
        <v>1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29"/>
      <c r="U41" s="18"/>
      <c r="V41" s="18"/>
      <c r="W41" s="18"/>
      <c r="X41" s="18"/>
      <c r="Y41" s="18"/>
    </row>
    <row r="42" spans="1:25">
      <c r="A42" s="46"/>
      <c r="B42" s="18"/>
      <c r="C42" s="18"/>
      <c r="D42" s="18"/>
      <c r="E42" s="18"/>
      <c r="F42" s="18"/>
      <c r="G42" s="18"/>
      <c r="H42" s="18"/>
      <c r="I42" s="18"/>
      <c r="J42" s="70" t="s">
        <v>2</v>
      </c>
      <c r="K42" s="70"/>
      <c r="L42" s="18"/>
      <c r="M42" s="18"/>
      <c r="N42" s="18"/>
      <c r="O42" s="18"/>
      <c r="P42" s="18"/>
      <c r="Q42" s="18"/>
      <c r="R42" s="18"/>
      <c r="S42" s="18"/>
      <c r="T42" s="29"/>
      <c r="U42" s="18"/>
      <c r="V42" s="18"/>
      <c r="W42" s="18"/>
      <c r="X42" s="18"/>
      <c r="Y42" s="18"/>
    </row>
    <row r="43" spans="1:25">
      <c r="A43" s="46"/>
      <c r="B43" s="18"/>
      <c r="C43" s="18"/>
      <c r="D43" s="18"/>
      <c r="E43" s="18"/>
      <c r="F43" s="18"/>
      <c r="G43" s="18"/>
      <c r="H43" s="18"/>
      <c r="I43" s="18"/>
      <c r="J43" s="18" t="s">
        <v>30</v>
      </c>
      <c r="K43" s="18" t="s">
        <v>31</v>
      </c>
      <c r="L43" s="18"/>
      <c r="M43" s="18" t="s">
        <v>30</v>
      </c>
      <c r="N43" s="18" t="s">
        <v>59</v>
      </c>
      <c r="O43" s="18"/>
      <c r="P43" s="18" t="s">
        <v>29</v>
      </c>
      <c r="Q43" s="18"/>
      <c r="R43" s="18"/>
      <c r="S43" s="18" t="s">
        <v>32</v>
      </c>
      <c r="T43" s="29"/>
      <c r="U43" s="18"/>
      <c r="V43" s="18"/>
      <c r="W43" s="18"/>
      <c r="X43" s="18"/>
      <c r="Y43" s="18"/>
    </row>
    <row r="44" spans="1:25">
      <c r="A44" s="46" t="s">
        <v>60</v>
      </c>
      <c r="B44" s="18"/>
      <c r="C44" s="18" t="s">
        <v>61</v>
      </c>
      <c r="D44" s="18" t="s">
        <v>19</v>
      </c>
      <c r="E44" s="18" t="s">
        <v>20</v>
      </c>
      <c r="F44" s="18"/>
      <c r="G44" s="18" t="s">
        <v>18</v>
      </c>
      <c r="H44" s="18" t="s">
        <v>21</v>
      </c>
      <c r="I44" s="18"/>
      <c r="J44" s="16" t="s">
        <v>46</v>
      </c>
      <c r="K44" s="18" t="s">
        <v>46</v>
      </c>
      <c r="L44" s="18"/>
      <c r="M44" s="18" t="s">
        <v>62</v>
      </c>
      <c r="N44" s="18" t="s">
        <v>62</v>
      </c>
      <c r="O44" s="18"/>
      <c r="P44" s="18" t="s">
        <v>30</v>
      </c>
      <c r="Q44" s="18" t="s">
        <v>31</v>
      </c>
      <c r="R44" s="18"/>
      <c r="S44" s="18" t="s">
        <v>30</v>
      </c>
      <c r="T44" s="29" t="s">
        <v>31</v>
      </c>
      <c r="U44" s="18"/>
      <c r="V44" s="18"/>
      <c r="W44" s="18"/>
      <c r="X44" s="18"/>
      <c r="Y44" s="18"/>
    </row>
    <row r="45" spans="1:25">
      <c r="A45" s="46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29"/>
      <c r="U45" s="18"/>
      <c r="V45" s="18"/>
      <c r="W45" s="18"/>
      <c r="X45" s="18"/>
      <c r="Y45" s="18"/>
    </row>
    <row r="46" spans="1:25">
      <c r="A46" s="60" t="s">
        <v>64</v>
      </c>
      <c r="B46" s="61"/>
      <c r="C46" s="62">
        <f>C17</f>
        <v>911</v>
      </c>
      <c r="D46" s="63">
        <f>C46*E$36</f>
        <v>126.34704549999999</v>
      </c>
      <c r="E46" s="54">
        <f>D46*E$40</f>
        <v>127.610515955</v>
      </c>
      <c r="F46" s="55"/>
      <c r="G46" s="54">
        <f>D46*E$33</f>
        <v>37019.351157339588</v>
      </c>
      <c r="H46" s="54">
        <f>E46*E$33</f>
        <v>37389.544668912982</v>
      </c>
      <c r="I46" s="54"/>
      <c r="J46" s="64">
        <f>K16</f>
        <v>6428</v>
      </c>
      <c r="K46" s="54">
        <f>J46*E$38</f>
        <v>21469.52</v>
      </c>
      <c r="L46" s="55"/>
      <c r="M46" s="54">
        <f>J46*E$35</f>
        <v>21.938763999999999</v>
      </c>
      <c r="N46" s="54">
        <f>K46*E$35</f>
        <v>73.275471760000002</v>
      </c>
      <c r="O46" s="55"/>
      <c r="P46" s="54">
        <f t="shared" ref="P46:Q47" si="0">G46+J46</f>
        <v>43447.351157339588</v>
      </c>
      <c r="Q46" s="54">
        <f t="shared" si="0"/>
        <v>58859.064668912979</v>
      </c>
      <c r="R46" s="54"/>
      <c r="S46" s="54">
        <f t="shared" ref="S46:T47" si="1">D46+M46</f>
        <v>148.2858095</v>
      </c>
      <c r="T46" s="56">
        <f t="shared" si="1"/>
        <v>200.885987715</v>
      </c>
      <c r="U46" s="18" t="s">
        <v>90</v>
      </c>
      <c r="V46" s="18"/>
      <c r="W46" s="18"/>
      <c r="X46" s="18"/>
      <c r="Y46" s="18"/>
    </row>
    <row r="47" spans="1:25">
      <c r="A47" s="46" t="s">
        <v>65</v>
      </c>
      <c r="B47" s="18"/>
      <c r="C47" s="18">
        <v>868</v>
      </c>
      <c r="D47" s="51">
        <f>C47*E$36</f>
        <v>120.383354</v>
      </c>
      <c r="E47" s="39">
        <f>D47*E$40</f>
        <v>121.58718754</v>
      </c>
      <c r="F47" s="18"/>
      <c r="G47" s="39">
        <f>D47*E$33</f>
        <v>35272.005273952534</v>
      </c>
      <c r="H47" s="39">
        <f>E47*E$33</f>
        <v>35624.725326692067</v>
      </c>
      <c r="I47" s="18"/>
      <c r="J47" s="18">
        <v>11509</v>
      </c>
      <c r="K47" s="39">
        <f>J47*E$38</f>
        <v>38440.06</v>
      </c>
      <c r="L47" s="18"/>
      <c r="M47" s="39">
        <f>J47*E$35</f>
        <v>39.280217</v>
      </c>
      <c r="N47" s="39">
        <f>K47*E$35</f>
        <v>131.19592477999998</v>
      </c>
      <c r="O47" s="18"/>
      <c r="P47" s="39">
        <f t="shared" si="0"/>
        <v>46781.005273952534</v>
      </c>
      <c r="Q47" s="39">
        <f t="shared" si="0"/>
        <v>74064.785326692072</v>
      </c>
      <c r="R47" s="39"/>
      <c r="S47" s="39">
        <f t="shared" si="1"/>
        <v>159.66357099999999</v>
      </c>
      <c r="T47" s="40">
        <f t="shared" si="1"/>
        <v>252.78311231999999</v>
      </c>
      <c r="U47" s="18"/>
      <c r="V47" s="18"/>
      <c r="W47" s="18"/>
      <c r="X47" s="18"/>
      <c r="Y47" s="18"/>
    </row>
    <row r="48" spans="1:25">
      <c r="A48" s="46" t="s">
        <v>88</v>
      </c>
      <c r="B48" s="18"/>
      <c r="C48" s="18"/>
      <c r="D48" s="51"/>
      <c r="E48" s="39"/>
      <c r="F48" s="18"/>
      <c r="G48" s="39"/>
      <c r="H48" s="39"/>
      <c r="I48" s="18"/>
      <c r="J48" s="18"/>
      <c r="K48" s="39"/>
      <c r="L48" s="18"/>
      <c r="M48" s="39"/>
      <c r="N48" s="39"/>
      <c r="O48" s="18"/>
      <c r="P48" s="39"/>
      <c r="Q48" s="39"/>
      <c r="R48" s="39"/>
      <c r="S48" s="39"/>
      <c r="T48" s="40"/>
      <c r="U48" s="18"/>
      <c r="V48" s="18"/>
      <c r="W48" s="18"/>
      <c r="X48" s="18"/>
      <c r="Y48" s="18"/>
    </row>
    <row r="49" spans="1:25">
      <c r="A49" s="65" t="s">
        <v>89</v>
      </c>
      <c r="B49" s="55"/>
      <c r="C49" s="55">
        <f>C47</f>
        <v>868</v>
      </c>
      <c r="D49" s="63">
        <f>C49*E$36</f>
        <v>120.383354</v>
      </c>
      <c r="E49" s="54">
        <f>D49*E$40</f>
        <v>121.58718754</v>
      </c>
      <c r="F49" s="55"/>
      <c r="G49" s="54">
        <f>D49*E$33</f>
        <v>35272.005273952534</v>
      </c>
      <c r="H49" s="54">
        <f>E49*E$33</f>
        <v>35624.725326692067</v>
      </c>
      <c r="I49" s="55"/>
      <c r="J49" s="55">
        <f>J46</f>
        <v>6428</v>
      </c>
      <c r="K49" s="54">
        <f>J49*E$38</f>
        <v>21469.52</v>
      </c>
      <c r="L49" s="55"/>
      <c r="M49" s="54">
        <f>J49*E$35</f>
        <v>21.938763999999999</v>
      </c>
      <c r="N49" s="54">
        <f>K49*E$35</f>
        <v>73.275471760000002</v>
      </c>
      <c r="O49" s="55"/>
      <c r="P49" s="54">
        <f t="shared" ref="P49" si="2">G49+J49</f>
        <v>41700.005273952534</v>
      </c>
      <c r="Q49" s="54">
        <f t="shared" ref="Q49" si="3">H49+K49</f>
        <v>57094.245326692064</v>
      </c>
      <c r="R49" s="54"/>
      <c r="S49" s="54">
        <f t="shared" ref="S49" si="4">D49+M49</f>
        <v>142.32211799999999</v>
      </c>
      <c r="T49" s="56">
        <f t="shared" ref="T49" si="5">E49+N49</f>
        <v>194.86265930000002</v>
      </c>
      <c r="U49" s="18" t="s">
        <v>91</v>
      </c>
      <c r="V49" s="18"/>
      <c r="W49" s="18"/>
      <c r="X49" s="18"/>
      <c r="Y49" s="18"/>
    </row>
  </sheetData>
  <mergeCells count="2">
    <mergeCell ref="J5:K5"/>
    <mergeCell ref="J42:K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4"/>
  <sheetViews>
    <sheetView topLeftCell="A4" workbookViewId="0">
      <selection activeCell="D6" sqref="D6"/>
    </sheetView>
  </sheetViews>
  <sheetFormatPr defaultRowHeight="15"/>
  <cols>
    <col min="4" max="4" width="10.42578125" bestFit="1" customWidth="1"/>
    <col min="15" max="15" width="10.5703125" customWidth="1"/>
    <col min="16" max="16" width="10.28515625" customWidth="1"/>
  </cols>
  <sheetData>
    <row r="2" spans="1:5">
      <c r="B2" s="8" t="s">
        <v>36</v>
      </c>
      <c r="D2" s="8"/>
      <c r="E2" s="10"/>
    </row>
    <row r="3" spans="1:5">
      <c r="B3" s="8" t="s">
        <v>37</v>
      </c>
    </row>
    <row r="4" spans="1:5">
      <c r="D4" s="8" t="s">
        <v>38</v>
      </c>
    </row>
    <row r="5" spans="1:5">
      <c r="B5" s="8"/>
      <c r="C5" t="s">
        <v>0</v>
      </c>
      <c r="D5" t="s">
        <v>1</v>
      </c>
    </row>
    <row r="6" spans="1:5" s="8" customFormat="1">
      <c r="A6" s="1">
        <v>40390</v>
      </c>
      <c r="C6" s="13"/>
      <c r="D6" s="2"/>
    </row>
    <row r="7" spans="1:5" s="8" customFormat="1">
      <c r="A7" s="1">
        <v>40421</v>
      </c>
      <c r="C7" s="13"/>
      <c r="D7" s="2">
        <f>HDD!B8</f>
        <v>46</v>
      </c>
    </row>
    <row r="8" spans="1:5" s="8" customFormat="1">
      <c r="A8" s="1">
        <v>40451</v>
      </c>
      <c r="C8" s="13"/>
      <c r="D8" s="2">
        <f>HDD!B9</f>
        <v>94</v>
      </c>
    </row>
    <row r="9" spans="1:5" s="8" customFormat="1">
      <c r="A9" s="1">
        <v>40482</v>
      </c>
      <c r="C9" s="13"/>
      <c r="D9" s="2">
        <f>HDD!B10</f>
        <v>388</v>
      </c>
    </row>
    <row r="10" spans="1:5" s="8" customFormat="1">
      <c r="A10" s="1">
        <v>40512</v>
      </c>
      <c r="C10" s="13">
        <v>0</v>
      </c>
      <c r="D10" s="2">
        <f>HDD!B11</f>
        <v>668</v>
      </c>
    </row>
    <row r="11" spans="1:5">
      <c r="A11" s="1">
        <v>40543</v>
      </c>
      <c r="B11" s="16"/>
      <c r="C11" s="13">
        <v>0</v>
      </c>
      <c r="D11" s="2">
        <f>HDD!B12</f>
        <v>1094</v>
      </c>
    </row>
    <row r="12" spans="1:5">
      <c r="A12" s="1">
        <v>40574</v>
      </c>
      <c r="B12" s="16"/>
      <c r="C12" s="13">
        <v>0</v>
      </c>
      <c r="D12" s="2">
        <f>HDD!B13</f>
        <v>1277</v>
      </c>
    </row>
    <row r="13" spans="1:5">
      <c r="A13" s="1">
        <v>40602</v>
      </c>
      <c r="B13" s="16"/>
      <c r="C13" s="13">
        <v>0</v>
      </c>
      <c r="D13" s="2">
        <f>HDD!B14</f>
        <v>1058</v>
      </c>
    </row>
    <row r="14" spans="1:5">
      <c r="A14" s="1">
        <v>40633</v>
      </c>
      <c r="B14" s="16"/>
      <c r="C14" s="13">
        <v>0</v>
      </c>
      <c r="D14" s="2">
        <f>HDD!B15</f>
        <v>909</v>
      </c>
    </row>
    <row r="15" spans="1:5">
      <c r="A15" s="1">
        <v>40663</v>
      </c>
      <c r="B15" s="16"/>
      <c r="C15" s="13">
        <v>0</v>
      </c>
      <c r="D15" s="2">
        <f>HDD!B16</f>
        <v>538</v>
      </c>
    </row>
    <row r="16" spans="1:5">
      <c r="A16" s="1">
        <v>40694</v>
      </c>
      <c r="B16" s="16"/>
      <c r="C16" s="13">
        <v>0</v>
      </c>
      <c r="D16" s="2">
        <f>HDD!B17</f>
        <v>313</v>
      </c>
    </row>
    <row r="17" spans="1:4">
      <c r="A17" s="1">
        <v>40724</v>
      </c>
      <c r="B17" s="16"/>
      <c r="C17" s="13">
        <v>0</v>
      </c>
      <c r="D17" s="2">
        <f>HDD!B18</f>
        <v>119</v>
      </c>
    </row>
    <row r="18" spans="1:4">
      <c r="A18" s="1">
        <v>40755</v>
      </c>
      <c r="B18" s="16"/>
      <c r="C18" s="13">
        <v>0</v>
      </c>
      <c r="D18" s="2">
        <f>HDD!B19</f>
        <v>11</v>
      </c>
    </row>
    <row r="19" spans="1:4">
      <c r="A19" s="1">
        <v>40786</v>
      </c>
      <c r="B19" s="16"/>
      <c r="C19" s="13">
        <v>0</v>
      </c>
      <c r="D19" s="2">
        <f>HDD!B20</f>
        <v>25</v>
      </c>
    </row>
    <row r="20" spans="1:4">
      <c r="A20" s="1">
        <v>40816</v>
      </c>
      <c r="B20" s="16"/>
      <c r="C20" s="13">
        <v>0</v>
      </c>
      <c r="D20" s="2">
        <f>HDD!B21</f>
        <v>100</v>
      </c>
    </row>
    <row r="21" spans="1:4">
      <c r="A21" s="1">
        <v>40847</v>
      </c>
      <c r="B21" s="16"/>
      <c r="C21" s="13">
        <v>0</v>
      </c>
      <c r="D21" s="2">
        <f>HDD!B22</f>
        <v>376</v>
      </c>
    </row>
    <row r="22" spans="1:4">
      <c r="A22" s="1">
        <v>40877</v>
      </c>
      <c r="B22" s="16"/>
      <c r="C22" s="13">
        <v>0</v>
      </c>
      <c r="D22" s="2">
        <f>HDD!B23</f>
        <v>532</v>
      </c>
    </row>
    <row r="23" spans="1:4">
      <c r="A23" s="1">
        <v>40908</v>
      </c>
      <c r="B23" s="16"/>
      <c r="C23" s="13">
        <v>0</v>
      </c>
      <c r="D23" s="2">
        <f>HDD!B24</f>
        <v>846</v>
      </c>
    </row>
    <row r="24" spans="1:4">
      <c r="A24" s="1">
        <v>40939</v>
      </c>
      <c r="B24" s="16"/>
      <c r="C24" s="13">
        <v>0</v>
      </c>
      <c r="D24" s="2">
        <f>HDD!B25</f>
        <v>1016</v>
      </c>
    </row>
    <row r="25" spans="1:4">
      <c r="A25" s="1">
        <v>40968</v>
      </c>
      <c r="B25" s="16"/>
      <c r="C25" s="13">
        <v>0</v>
      </c>
      <c r="D25" s="2">
        <f>HDD!B26</f>
        <v>878</v>
      </c>
    </row>
    <row r="26" spans="1:4">
      <c r="A26" s="1">
        <v>40999</v>
      </c>
      <c r="B26" s="16"/>
      <c r="C26" s="13">
        <v>0</v>
      </c>
      <c r="D26" s="2">
        <f>HDD!B27</f>
        <v>650</v>
      </c>
    </row>
    <row r="27" spans="1:4">
      <c r="A27" s="1">
        <v>41029</v>
      </c>
      <c r="B27" s="16"/>
      <c r="C27" s="13">
        <v>0</v>
      </c>
      <c r="D27" s="2">
        <f>HDD!B28</f>
        <v>452</v>
      </c>
    </row>
    <row r="28" spans="1:4">
      <c r="A28" s="1">
        <v>41060</v>
      </c>
      <c r="B28" s="16"/>
      <c r="C28" s="13">
        <v>0</v>
      </c>
      <c r="D28" s="2">
        <f>HDD!B29</f>
        <v>249</v>
      </c>
    </row>
    <row r="29" spans="1:4">
      <c r="A29" s="1">
        <v>41090</v>
      </c>
      <c r="B29" s="16"/>
      <c r="C29" s="13">
        <v>0</v>
      </c>
      <c r="D29" s="2">
        <f>HDD!B30</f>
        <v>128</v>
      </c>
    </row>
    <row r="30" spans="1:4">
      <c r="A30" s="1">
        <v>41121</v>
      </c>
      <c r="B30" s="16"/>
      <c r="C30" s="13">
        <v>0</v>
      </c>
      <c r="D30" s="2">
        <f>HDD!B31</f>
        <v>14</v>
      </c>
    </row>
    <row r="31" spans="1:4">
      <c r="A31" s="1">
        <v>41152</v>
      </c>
      <c r="B31" s="16"/>
      <c r="C31" s="13">
        <v>0</v>
      </c>
      <c r="D31" s="2">
        <f>HDD!B32</f>
        <v>16</v>
      </c>
    </row>
    <row r="32" spans="1:4">
      <c r="B32" s="16"/>
      <c r="C32" s="13">
        <v>0</v>
      </c>
      <c r="D32" s="2">
        <f>HDD!B33</f>
        <v>0</v>
      </c>
    </row>
    <row r="62" spans="1:1">
      <c r="A62" s="1"/>
    </row>
    <row r="63" spans="1:1">
      <c r="A63" s="1"/>
    </row>
    <row r="64" spans="1:1">
      <c r="A64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4"/>
  <sheetViews>
    <sheetView topLeftCell="A4" workbookViewId="0">
      <selection activeCell="T19" sqref="T19:W30"/>
    </sheetView>
  </sheetViews>
  <sheetFormatPr defaultRowHeight="15"/>
  <cols>
    <col min="1" max="1" width="10.42578125" bestFit="1" customWidth="1"/>
    <col min="2" max="2" width="9.85546875" customWidth="1"/>
    <col min="4" max="4" width="15.28515625" customWidth="1"/>
    <col min="5" max="5" width="11.42578125" customWidth="1"/>
    <col min="17" max="19" width="10.5703125" customWidth="1"/>
    <col min="20" max="20" width="10.85546875" customWidth="1"/>
    <col min="21" max="21" width="10.140625" customWidth="1"/>
  </cols>
  <sheetData>
    <row r="1" spans="1:23">
      <c r="B1" s="8"/>
    </row>
    <row r="3" spans="1:23">
      <c r="B3" s="8" t="s">
        <v>36</v>
      </c>
      <c r="D3" s="8"/>
    </row>
    <row r="4" spans="1:23">
      <c r="B4" s="69" t="s">
        <v>2</v>
      </c>
      <c r="C4" s="69"/>
      <c r="E4" t="s">
        <v>3</v>
      </c>
    </row>
    <row r="5" spans="1:23">
      <c r="B5" s="8" t="s">
        <v>34</v>
      </c>
      <c r="C5" s="8"/>
      <c r="D5" t="s">
        <v>4</v>
      </c>
      <c r="E5" t="s">
        <v>5</v>
      </c>
      <c r="F5" t="s">
        <v>1</v>
      </c>
      <c r="G5" t="s">
        <v>6</v>
      </c>
    </row>
    <row r="6" spans="1:23" s="8" customFormat="1">
      <c r="A6" s="8" t="s">
        <v>15</v>
      </c>
      <c r="S6"/>
      <c r="T6" s="32">
        <v>40774</v>
      </c>
      <c r="U6" s="32">
        <v>40792</v>
      </c>
      <c r="V6" s="33">
        <v>12</v>
      </c>
      <c r="W6" s="33">
        <v>0</v>
      </c>
    </row>
    <row r="7" spans="1:23" s="8" customFormat="1">
      <c r="S7"/>
      <c r="T7" s="32">
        <v>40792</v>
      </c>
      <c r="U7" s="32">
        <v>40820</v>
      </c>
      <c r="V7" s="33">
        <v>72</v>
      </c>
      <c r="W7" s="33">
        <v>0</v>
      </c>
    </row>
    <row r="8" spans="1:23" s="8" customFormat="1">
      <c r="A8" s="1">
        <v>40360</v>
      </c>
      <c r="B8" s="17"/>
      <c r="D8" s="17">
        <f>SUM(B8+C8-E8)</f>
        <v>0</v>
      </c>
      <c r="S8"/>
      <c r="T8" s="32">
        <v>40820</v>
      </c>
      <c r="U8" s="32">
        <v>40851</v>
      </c>
      <c r="V8" s="33">
        <v>168</v>
      </c>
      <c r="W8" s="33">
        <v>0</v>
      </c>
    </row>
    <row r="9" spans="1:23" s="8" customFormat="1">
      <c r="A9" s="1">
        <v>40391</v>
      </c>
      <c r="B9" s="17"/>
      <c r="D9" s="17">
        <f t="shared" ref="D9:D33" si="0">SUM(B9+C9-E9)</f>
        <v>0</v>
      </c>
      <c r="F9" s="8">
        <f>HDD!B8</f>
        <v>46</v>
      </c>
      <c r="G9" s="8">
        <f>CDD!B8</f>
        <v>226</v>
      </c>
      <c r="T9" s="32">
        <v>40851</v>
      </c>
      <c r="U9" s="32">
        <v>40883</v>
      </c>
      <c r="V9" s="33">
        <v>637</v>
      </c>
      <c r="W9" s="33">
        <v>0</v>
      </c>
    </row>
    <row r="10" spans="1:23" s="8" customFormat="1">
      <c r="A10" s="1">
        <v>40422</v>
      </c>
      <c r="B10" s="17"/>
      <c r="D10" s="17">
        <f t="shared" si="0"/>
        <v>0</v>
      </c>
      <c r="F10" s="8">
        <f>HDD!B9</f>
        <v>94</v>
      </c>
      <c r="G10" s="8">
        <f>CDD!B9</f>
        <v>133</v>
      </c>
      <c r="T10" s="32">
        <v>40883</v>
      </c>
      <c r="U10" s="32">
        <v>40913</v>
      </c>
      <c r="V10" s="34">
        <v>1027</v>
      </c>
      <c r="W10" s="33">
        <v>0</v>
      </c>
    </row>
    <row r="11" spans="1:23" s="8" customFormat="1">
      <c r="A11" s="1">
        <v>40452</v>
      </c>
      <c r="B11" s="17"/>
      <c r="D11" s="17">
        <f t="shared" si="0"/>
        <v>0</v>
      </c>
      <c r="F11" s="8">
        <f>HDD!B10</f>
        <v>388</v>
      </c>
      <c r="G11" s="8">
        <f>CDD!B10</f>
        <v>16</v>
      </c>
      <c r="T11" s="32">
        <v>40913</v>
      </c>
      <c r="U11" s="32">
        <v>40945</v>
      </c>
      <c r="V11" s="34">
        <v>1438</v>
      </c>
      <c r="W11" s="33">
        <v>0</v>
      </c>
    </row>
    <row r="12" spans="1:23" s="8" customFormat="1">
      <c r="A12" s="1">
        <v>40483</v>
      </c>
      <c r="B12" s="17"/>
      <c r="D12" s="17">
        <f t="shared" si="0"/>
        <v>0</v>
      </c>
      <c r="F12" s="8">
        <f>HDD!B11</f>
        <v>668</v>
      </c>
      <c r="G12" s="8">
        <f>CDD!B11</f>
        <v>0</v>
      </c>
      <c r="T12" s="32">
        <v>40945</v>
      </c>
      <c r="U12" s="32">
        <v>40973</v>
      </c>
      <c r="V12" s="34">
        <v>1380</v>
      </c>
      <c r="W12" s="33">
        <v>0</v>
      </c>
    </row>
    <row r="13" spans="1:23">
      <c r="A13" s="1">
        <v>40513</v>
      </c>
      <c r="B13" s="17"/>
      <c r="D13" s="17">
        <f t="shared" si="0"/>
        <v>0</v>
      </c>
      <c r="F13" s="8">
        <f>HDD!B12</f>
        <v>1094</v>
      </c>
      <c r="G13" s="8">
        <f>CDD!B12</f>
        <v>0</v>
      </c>
      <c r="S13" s="8"/>
      <c r="T13" s="32">
        <v>40973</v>
      </c>
      <c r="U13" s="32">
        <v>41002</v>
      </c>
      <c r="V13" s="34">
        <v>1181</v>
      </c>
      <c r="W13" s="33">
        <v>0</v>
      </c>
    </row>
    <row r="14" spans="1:23">
      <c r="A14" s="1">
        <v>40544</v>
      </c>
      <c r="B14" s="17"/>
      <c r="C14" s="16"/>
      <c r="D14" s="17">
        <f t="shared" si="0"/>
        <v>0</v>
      </c>
      <c r="E14" s="16"/>
      <c r="F14" s="8">
        <f>HDD!B13</f>
        <v>1277</v>
      </c>
      <c r="G14" s="8">
        <f>CDD!B13</f>
        <v>0</v>
      </c>
      <c r="S14" s="8"/>
      <c r="T14" s="32">
        <v>41002</v>
      </c>
      <c r="U14" s="32">
        <v>41034</v>
      </c>
      <c r="V14" s="33">
        <v>819</v>
      </c>
      <c r="W14" s="33">
        <v>0</v>
      </c>
    </row>
    <row r="15" spans="1:23">
      <c r="A15" s="1">
        <v>40575</v>
      </c>
      <c r="B15" s="17"/>
      <c r="C15" s="16"/>
      <c r="D15" s="17">
        <f t="shared" si="0"/>
        <v>0</v>
      </c>
      <c r="E15" s="16"/>
      <c r="F15" s="8">
        <f>HDD!B14</f>
        <v>1058</v>
      </c>
      <c r="G15" s="8">
        <f>CDD!B14</f>
        <v>0</v>
      </c>
      <c r="S15" s="8"/>
      <c r="T15" s="32">
        <v>41034</v>
      </c>
      <c r="U15" s="32">
        <v>41066</v>
      </c>
      <c r="V15" s="33">
        <v>723</v>
      </c>
      <c r="W15" s="33">
        <v>0</v>
      </c>
    </row>
    <row r="16" spans="1:23">
      <c r="A16" s="1">
        <v>40603</v>
      </c>
      <c r="B16" s="17"/>
      <c r="C16" s="16"/>
      <c r="D16" s="17">
        <f t="shared" si="0"/>
        <v>0</v>
      </c>
      <c r="E16" s="16"/>
      <c r="F16" s="8">
        <f>HDD!B15</f>
        <v>909</v>
      </c>
      <c r="G16" s="8">
        <f>CDD!B15</f>
        <v>0</v>
      </c>
      <c r="H16" s="8"/>
      <c r="S16" s="8"/>
      <c r="T16" s="32">
        <v>41066</v>
      </c>
      <c r="U16" s="32">
        <v>41093</v>
      </c>
      <c r="V16" s="33">
        <v>735</v>
      </c>
      <c r="W16" s="33">
        <v>0</v>
      </c>
    </row>
    <row r="17" spans="1:23">
      <c r="A17" s="1">
        <v>40634</v>
      </c>
      <c r="B17" s="17"/>
      <c r="C17" s="16"/>
      <c r="D17" s="17">
        <f t="shared" si="0"/>
        <v>0</v>
      </c>
      <c r="E17" s="16"/>
      <c r="F17" s="8">
        <f>HDD!B16</f>
        <v>538</v>
      </c>
      <c r="G17" s="8">
        <f>CDD!B16</f>
        <v>6</v>
      </c>
      <c r="S17" s="8"/>
      <c r="T17" s="32">
        <v>41093</v>
      </c>
      <c r="U17" s="32">
        <v>41124</v>
      </c>
      <c r="V17" s="33">
        <v>889</v>
      </c>
      <c r="W17" s="33">
        <v>0</v>
      </c>
    </row>
    <row r="18" spans="1:23">
      <c r="A18" s="1">
        <v>40664</v>
      </c>
      <c r="B18" s="17"/>
      <c r="C18" s="16"/>
      <c r="D18" s="17">
        <f t="shared" si="0"/>
        <v>0</v>
      </c>
      <c r="E18" s="16"/>
      <c r="F18" s="8">
        <f>HDD!B17</f>
        <v>313</v>
      </c>
      <c r="G18" s="8">
        <f>CDD!B17</f>
        <v>40</v>
      </c>
      <c r="H18" s="8" t="s">
        <v>51</v>
      </c>
      <c r="S18" s="8"/>
      <c r="T18" s="8"/>
      <c r="U18" s="8"/>
      <c r="V18" s="8"/>
      <c r="W18" s="8"/>
    </row>
    <row r="19" spans="1:23">
      <c r="A19" s="1">
        <v>40695</v>
      </c>
      <c r="B19" s="17"/>
      <c r="C19" s="16"/>
      <c r="D19" s="17">
        <f t="shared" si="0"/>
        <v>0</v>
      </c>
      <c r="E19" s="16"/>
      <c r="F19" s="8">
        <f>HDD!B18</f>
        <v>119</v>
      </c>
      <c r="G19" s="8">
        <f>CDD!B18</f>
        <v>93</v>
      </c>
    </row>
    <row r="20" spans="1:23">
      <c r="A20" s="1">
        <v>40725</v>
      </c>
      <c r="B20" s="17"/>
      <c r="C20" s="16"/>
      <c r="D20" s="17">
        <f t="shared" si="0"/>
        <v>0</v>
      </c>
      <c r="E20" s="16"/>
      <c r="F20" s="8">
        <f>HDD!B19</f>
        <v>11</v>
      </c>
      <c r="G20" s="8">
        <f>CDD!B19</f>
        <v>293</v>
      </c>
    </row>
    <row r="21" spans="1:23">
      <c r="A21" s="1">
        <v>40756</v>
      </c>
      <c r="B21" s="17">
        <v>12</v>
      </c>
      <c r="C21" s="16"/>
      <c r="D21" s="17">
        <f t="shared" si="0"/>
        <v>12</v>
      </c>
      <c r="E21" s="16"/>
      <c r="F21" s="8">
        <f>HDD!B20</f>
        <v>25</v>
      </c>
      <c r="G21" s="8">
        <f>CDD!B20</f>
        <v>193</v>
      </c>
    </row>
    <row r="22" spans="1:23">
      <c r="A22" s="1">
        <v>40787</v>
      </c>
      <c r="B22" s="17">
        <v>72</v>
      </c>
      <c r="C22" s="16"/>
      <c r="D22" s="17">
        <f t="shared" si="0"/>
        <v>72</v>
      </c>
      <c r="E22" s="16"/>
      <c r="F22" s="8">
        <f>HDD!B21</f>
        <v>100</v>
      </c>
      <c r="G22" s="8">
        <f>CDD!B21</f>
        <v>95</v>
      </c>
    </row>
    <row r="23" spans="1:23">
      <c r="A23" s="1">
        <v>40817</v>
      </c>
      <c r="B23" s="17">
        <v>168</v>
      </c>
      <c r="C23" s="16"/>
      <c r="D23" s="17">
        <f t="shared" si="0"/>
        <v>168</v>
      </c>
      <c r="E23" s="16"/>
      <c r="F23" s="8">
        <f>HDD!B22</f>
        <v>376</v>
      </c>
      <c r="G23" s="8">
        <f>CDD!B22</f>
        <v>16</v>
      </c>
    </row>
    <row r="24" spans="1:23">
      <c r="A24" s="1">
        <v>40848</v>
      </c>
      <c r="B24" s="17">
        <v>637</v>
      </c>
      <c r="C24" s="16"/>
      <c r="D24" s="17">
        <f t="shared" si="0"/>
        <v>637</v>
      </c>
      <c r="E24" s="16"/>
      <c r="F24" s="8">
        <f>HDD!B23</f>
        <v>532</v>
      </c>
      <c r="G24" s="8">
        <f>CDD!B23</f>
        <v>1</v>
      </c>
    </row>
    <row r="25" spans="1:23">
      <c r="A25" s="1">
        <v>40878</v>
      </c>
      <c r="B25" s="17">
        <v>1027</v>
      </c>
      <c r="C25" s="16"/>
      <c r="D25" s="17">
        <f t="shared" si="0"/>
        <v>1027</v>
      </c>
      <c r="E25" s="16"/>
      <c r="F25" s="8">
        <f>HDD!B24</f>
        <v>846</v>
      </c>
      <c r="G25" s="8">
        <f>CDD!B24</f>
        <v>0</v>
      </c>
      <c r="H25" s="8"/>
    </row>
    <row r="26" spans="1:23">
      <c r="A26" s="1">
        <v>40909</v>
      </c>
      <c r="B26" s="17">
        <v>1438</v>
      </c>
      <c r="C26" s="16"/>
      <c r="D26" s="17">
        <f t="shared" si="0"/>
        <v>1438</v>
      </c>
      <c r="E26" s="16"/>
      <c r="F26" s="8">
        <f>HDD!B25</f>
        <v>1016</v>
      </c>
      <c r="G26" s="8">
        <f>CDD!B25</f>
        <v>0</v>
      </c>
      <c r="H26" s="8" t="s">
        <v>33</v>
      </c>
    </row>
    <row r="27" spans="1:23">
      <c r="A27" s="1">
        <v>40940</v>
      </c>
      <c r="B27" s="17">
        <v>1380</v>
      </c>
      <c r="C27" s="16"/>
      <c r="D27" s="17">
        <f t="shared" si="0"/>
        <v>1380</v>
      </c>
      <c r="E27" s="16"/>
      <c r="F27" s="8">
        <f>HDD!B26</f>
        <v>878</v>
      </c>
      <c r="G27" s="8">
        <f>CDD!B26</f>
        <v>0</v>
      </c>
    </row>
    <row r="28" spans="1:23">
      <c r="A28" s="1">
        <v>40969</v>
      </c>
      <c r="B28" s="17">
        <v>1181</v>
      </c>
      <c r="C28" s="16"/>
      <c r="D28" s="17">
        <f t="shared" si="0"/>
        <v>1181</v>
      </c>
      <c r="E28" s="16"/>
      <c r="F28" s="8">
        <f>HDD!B27</f>
        <v>650</v>
      </c>
      <c r="G28" s="8">
        <f>CDD!B27</f>
        <v>20</v>
      </c>
    </row>
    <row r="29" spans="1:23">
      <c r="A29" s="1">
        <v>41000</v>
      </c>
      <c r="B29" s="17">
        <v>819</v>
      </c>
      <c r="C29" s="16"/>
      <c r="D29" s="17">
        <f t="shared" si="0"/>
        <v>819</v>
      </c>
      <c r="E29" s="16"/>
      <c r="F29" s="8">
        <f>HDD!B28</f>
        <v>452</v>
      </c>
      <c r="G29" s="8">
        <f>CDD!B28</f>
        <v>23</v>
      </c>
    </row>
    <row r="30" spans="1:23">
      <c r="A30" s="1">
        <v>41030</v>
      </c>
      <c r="B30" s="17">
        <v>723</v>
      </c>
      <c r="C30" s="16"/>
      <c r="D30" s="17">
        <f t="shared" si="0"/>
        <v>723</v>
      </c>
      <c r="E30" s="16"/>
      <c r="F30" s="8">
        <f>HDD!B29</f>
        <v>249</v>
      </c>
      <c r="G30" s="8">
        <f>CDD!B29</f>
        <v>32</v>
      </c>
    </row>
    <row r="31" spans="1:23">
      <c r="A31" s="1">
        <v>41061</v>
      </c>
      <c r="B31" s="17">
        <v>735</v>
      </c>
      <c r="C31" s="16"/>
      <c r="D31" s="17">
        <f t="shared" si="0"/>
        <v>735</v>
      </c>
      <c r="E31" s="16"/>
      <c r="F31" s="8">
        <f>HDD!B30</f>
        <v>128</v>
      </c>
      <c r="G31" s="8">
        <f>CDD!B30</f>
        <v>119</v>
      </c>
      <c r="H31" s="8"/>
    </row>
    <row r="32" spans="1:23">
      <c r="A32" s="1">
        <v>41091</v>
      </c>
      <c r="B32" s="17">
        <v>889</v>
      </c>
      <c r="C32" s="3"/>
      <c r="D32" s="17">
        <f t="shared" si="0"/>
        <v>889</v>
      </c>
      <c r="E32" s="3"/>
      <c r="F32" s="8">
        <f>HDD!B31</f>
        <v>14</v>
      </c>
      <c r="G32" s="8">
        <f>CDD!B31</f>
        <v>269</v>
      </c>
    </row>
    <row r="33" spans="1:7">
      <c r="A33" s="1">
        <v>41122</v>
      </c>
      <c r="B33" s="18"/>
      <c r="C33" s="3"/>
      <c r="D33" s="17">
        <f t="shared" si="0"/>
        <v>0</v>
      </c>
      <c r="E33" s="3"/>
      <c r="F33" s="8">
        <f>HDD!B32</f>
        <v>16</v>
      </c>
      <c r="G33" s="8">
        <f>CDD!B32</f>
        <v>266</v>
      </c>
    </row>
    <row r="42" spans="1:7" s="8" customFormat="1"/>
    <row r="43" spans="1:7" s="8" customFormat="1"/>
    <row r="44" spans="1:7" s="8" customFormat="1"/>
    <row r="45" spans="1:7" s="8" customFormat="1"/>
    <row r="46" spans="1:7" s="8" customFormat="1"/>
    <row r="47" spans="1:7" s="8" customFormat="1"/>
    <row r="48" spans="1:7" s="8" customFormat="1"/>
    <row r="49" spans="1:1" s="8" customFormat="1"/>
    <row r="50" spans="1:1" s="8" customFormat="1"/>
    <row r="51" spans="1:1" s="8" customFormat="1"/>
    <row r="52" spans="1:1" s="8" customFormat="1"/>
    <row r="53" spans="1:1" s="8" customFormat="1"/>
    <row r="54" spans="1:1" s="8" customFormat="1"/>
    <row r="55" spans="1:1" s="8" customFormat="1"/>
    <row r="56" spans="1:1" s="8" customFormat="1"/>
    <row r="57" spans="1:1" s="8" customFormat="1"/>
    <row r="58" spans="1:1" s="8" customFormat="1"/>
    <row r="59" spans="1:1">
      <c r="A59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9">
      <c r="A65" s="8"/>
    </row>
    <row r="66" spans="1:9">
      <c r="A66" s="8"/>
    </row>
    <row r="67" spans="1:9">
      <c r="A67" s="8"/>
    </row>
    <row r="68" spans="1:9">
      <c r="G68" s="13"/>
      <c r="I68" s="8"/>
    </row>
    <row r="69" spans="1:9">
      <c r="I69" s="8"/>
    </row>
    <row r="70" spans="1:9">
      <c r="I70" s="8"/>
    </row>
    <row r="71" spans="1:9">
      <c r="I71" s="8"/>
    </row>
    <row r="72" spans="1:9">
      <c r="I72" s="8"/>
    </row>
    <row r="73" spans="1:9">
      <c r="I73" s="8"/>
    </row>
    <row r="74" spans="1:9">
      <c r="I74" s="8"/>
    </row>
    <row r="75" spans="1:9">
      <c r="I75" s="8"/>
    </row>
    <row r="76" spans="1:9">
      <c r="I76" s="8"/>
    </row>
    <row r="77" spans="1:9">
      <c r="I77" s="8"/>
    </row>
    <row r="78" spans="1:9">
      <c r="I78" s="8"/>
    </row>
    <row r="79" spans="1:9">
      <c r="I79" s="8"/>
    </row>
    <row r="80" spans="1:9">
      <c r="I80" s="8"/>
    </row>
    <row r="81" spans="9:9">
      <c r="I81" s="8"/>
    </row>
    <row r="82" spans="9:9">
      <c r="I82" s="8"/>
    </row>
    <row r="83" spans="9:9">
      <c r="I83" s="8"/>
    </row>
    <row r="84" spans="9:9">
      <c r="I84" s="8"/>
    </row>
  </sheetData>
  <mergeCells count="1">
    <mergeCell ref="B4:C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41"/>
  <sheetViews>
    <sheetView tabSelected="1" workbookViewId="0">
      <selection activeCell="S32" sqref="S32"/>
    </sheetView>
  </sheetViews>
  <sheetFormatPr defaultRowHeight="15"/>
  <cols>
    <col min="8" max="9" width="9.140625" style="8"/>
    <col min="18" max="18" width="9.140625" style="8"/>
    <col min="25" max="25" width="9.140625" style="8"/>
  </cols>
  <sheetData>
    <row r="1" spans="2:27">
      <c r="C1" s="8" t="s">
        <v>26</v>
      </c>
      <c r="E1" s="13">
        <f>1/E3</f>
        <v>292.99736302373282</v>
      </c>
    </row>
    <row r="2" spans="2:27">
      <c r="C2" s="8" t="s">
        <v>23</v>
      </c>
      <c r="E2" s="11">
        <f>100000/1000000</f>
        <v>0.1</v>
      </c>
    </row>
    <row r="3" spans="2:27">
      <c r="C3" s="8" t="s">
        <v>22</v>
      </c>
      <c r="E3">
        <f>3413/1000000</f>
        <v>3.4129999999999998E-3</v>
      </c>
    </row>
    <row r="4" spans="2:27">
      <c r="B4" s="8" t="s">
        <v>25</v>
      </c>
      <c r="E4">
        <v>3.34</v>
      </c>
    </row>
    <row r="5" spans="2:27">
      <c r="B5" s="8" t="s">
        <v>24</v>
      </c>
      <c r="E5">
        <v>1.0469999999999999</v>
      </c>
    </row>
    <row r="6" spans="2:27">
      <c r="W6" s="8" t="s">
        <v>29</v>
      </c>
      <c r="Z6" s="8" t="s">
        <v>32</v>
      </c>
    </row>
    <row r="7" spans="2:27">
      <c r="J7" s="8"/>
      <c r="K7" s="69" t="s">
        <v>2</v>
      </c>
      <c r="L7" s="69"/>
      <c r="M7" s="8" t="s">
        <v>27</v>
      </c>
      <c r="N7" s="8"/>
      <c r="O7" s="8"/>
      <c r="P7" s="8" t="s">
        <v>28</v>
      </c>
      <c r="R7" s="8" t="s">
        <v>19</v>
      </c>
      <c r="S7" s="8" t="s">
        <v>20</v>
      </c>
    </row>
    <row r="8" spans="2:27">
      <c r="B8" s="8"/>
      <c r="C8" s="8" t="s">
        <v>0</v>
      </c>
      <c r="D8" s="8" t="s">
        <v>19</v>
      </c>
      <c r="E8" s="8" t="s">
        <v>20</v>
      </c>
      <c r="G8" s="8" t="s">
        <v>18</v>
      </c>
      <c r="H8" s="8" t="s">
        <v>21</v>
      </c>
      <c r="J8" s="8"/>
      <c r="K8" s="14" t="str">
        <f>Elec!B5</f>
        <v>House</v>
      </c>
      <c r="L8" s="15">
        <f>Elec!C5</f>
        <v>0</v>
      </c>
      <c r="M8" s="8" t="s">
        <v>4</v>
      </c>
      <c r="N8" s="8" t="s">
        <v>5</v>
      </c>
      <c r="T8" s="8" t="s">
        <v>1</v>
      </c>
      <c r="U8" s="8" t="s">
        <v>6</v>
      </c>
      <c r="W8" s="8" t="s">
        <v>30</v>
      </c>
      <c r="X8" s="8" t="s">
        <v>31</v>
      </c>
      <c r="Z8" s="8" t="s">
        <v>30</v>
      </c>
      <c r="AA8" s="8" t="s">
        <v>31</v>
      </c>
    </row>
    <row r="9" spans="2:27" s="8" customFormat="1"/>
    <row r="10" spans="2:27" s="8" customFormat="1">
      <c r="B10" s="1">
        <v>40452</v>
      </c>
      <c r="C10" s="25">
        <f>Gas!C9</f>
        <v>0</v>
      </c>
      <c r="D10" s="12">
        <f t="shared" ref="D10:D12" si="0">C10*E$2</f>
        <v>0</v>
      </c>
      <c r="E10" s="13">
        <f t="shared" ref="E10:E12" si="1">D10*E$5</f>
        <v>0</v>
      </c>
      <c r="G10" s="13">
        <f t="shared" ref="G10:G12" si="2">D10*E$1</f>
        <v>0</v>
      </c>
      <c r="H10" s="13">
        <f t="shared" ref="H10:H12" si="3">E10*E$1</f>
        <v>0</v>
      </c>
      <c r="J10" s="1">
        <v>40452</v>
      </c>
      <c r="K10" s="51">
        <f>Elec!B11</f>
        <v>0</v>
      </c>
      <c r="L10" s="16">
        <f>Elec!C8</f>
        <v>0</v>
      </c>
      <c r="M10" s="13">
        <f>SUM(K10+L10-N10)</f>
        <v>0</v>
      </c>
      <c r="N10" s="2">
        <f>-(Elec!E8)</f>
        <v>0</v>
      </c>
      <c r="P10" s="13">
        <f t="shared" ref="P10:P12" si="4">((M10-N10)*E$4)+N10</f>
        <v>0</v>
      </c>
      <c r="R10" s="13">
        <f t="shared" ref="R10:R12" si="5">M10*E$3</f>
        <v>0</v>
      </c>
      <c r="S10" s="13">
        <f t="shared" ref="S10:S12" si="6">((M10-N10)*E$4+N10)*E$3</f>
        <v>0</v>
      </c>
      <c r="T10" s="8">
        <f>HDD!B11</f>
        <v>668</v>
      </c>
      <c r="U10" s="8">
        <f>CDD!B11</f>
        <v>0</v>
      </c>
      <c r="W10" s="13">
        <f t="shared" ref="W10:W12" si="7">G10+M10</f>
        <v>0</v>
      </c>
      <c r="X10" s="13">
        <f t="shared" ref="X10:X12" si="8">H10+P10</f>
        <v>0</v>
      </c>
      <c r="Y10" s="13"/>
      <c r="Z10" s="13">
        <f t="shared" ref="Z10:Z12" si="9">D10+R10</f>
        <v>0</v>
      </c>
      <c r="AA10" s="13">
        <f t="shared" ref="AA10:AA12" si="10">E10+S10</f>
        <v>0</v>
      </c>
    </row>
    <row r="11" spans="2:27" s="8" customFormat="1">
      <c r="B11" s="1">
        <v>40483</v>
      </c>
      <c r="C11" s="25">
        <f>Gas!C10</f>
        <v>0</v>
      </c>
      <c r="D11" s="12">
        <f t="shared" si="0"/>
        <v>0</v>
      </c>
      <c r="E11" s="13">
        <f t="shared" si="1"/>
        <v>0</v>
      </c>
      <c r="G11" s="13">
        <f t="shared" si="2"/>
        <v>0</v>
      </c>
      <c r="H11" s="13">
        <f t="shared" si="3"/>
        <v>0</v>
      </c>
      <c r="J11" s="1">
        <v>40483</v>
      </c>
      <c r="K11" s="51">
        <f>Elec!B12</f>
        <v>0</v>
      </c>
      <c r="L11" s="16">
        <f>Elec!C12</f>
        <v>0</v>
      </c>
      <c r="M11" s="13">
        <f t="shared" ref="M11:M31" si="11">SUM(K11+L11-N11)</f>
        <v>0</v>
      </c>
      <c r="N11" s="2">
        <f>-(Elec!E12)</f>
        <v>0</v>
      </c>
      <c r="P11" s="13">
        <f t="shared" si="4"/>
        <v>0</v>
      </c>
      <c r="R11" s="13">
        <f t="shared" si="5"/>
        <v>0</v>
      </c>
      <c r="S11" s="13">
        <f t="shared" si="6"/>
        <v>0</v>
      </c>
      <c r="T11" s="8">
        <f>HDD!B12</f>
        <v>1094</v>
      </c>
      <c r="U11" s="8">
        <f>CDD!B12</f>
        <v>0</v>
      </c>
      <c r="W11" s="13">
        <f t="shared" si="7"/>
        <v>0</v>
      </c>
      <c r="X11" s="13">
        <f t="shared" si="8"/>
        <v>0</v>
      </c>
      <c r="Y11" s="13"/>
      <c r="Z11" s="13">
        <f t="shared" si="9"/>
        <v>0</v>
      </c>
      <c r="AA11" s="13">
        <f t="shared" si="10"/>
        <v>0</v>
      </c>
    </row>
    <row r="12" spans="2:27">
      <c r="B12" s="1">
        <v>40513</v>
      </c>
      <c r="C12" s="25">
        <f>Gas!C11</f>
        <v>0</v>
      </c>
      <c r="D12" s="12">
        <f t="shared" si="0"/>
        <v>0</v>
      </c>
      <c r="E12" s="13">
        <f t="shared" si="1"/>
        <v>0</v>
      </c>
      <c r="G12" s="13">
        <f t="shared" si="2"/>
        <v>0</v>
      </c>
      <c r="H12" s="13">
        <f t="shared" si="3"/>
        <v>0</v>
      </c>
      <c r="J12" s="1">
        <v>40513</v>
      </c>
      <c r="K12" s="51">
        <f>Elec!B13</f>
        <v>0</v>
      </c>
      <c r="L12" s="16">
        <f>Elec!C13</f>
        <v>0</v>
      </c>
      <c r="M12" s="13">
        <f t="shared" si="11"/>
        <v>0</v>
      </c>
      <c r="N12" s="2">
        <f>-(Elec!E13)</f>
        <v>0</v>
      </c>
      <c r="P12" s="13">
        <f t="shared" si="4"/>
        <v>0</v>
      </c>
      <c r="Q12" s="8"/>
      <c r="R12" s="13">
        <f t="shared" si="5"/>
        <v>0</v>
      </c>
      <c r="S12" s="13">
        <f t="shared" si="6"/>
        <v>0</v>
      </c>
      <c r="T12" s="8">
        <f>HDD!B13</f>
        <v>1277</v>
      </c>
      <c r="U12" s="8">
        <f>CDD!B13</f>
        <v>0</v>
      </c>
      <c r="V12" s="8"/>
      <c r="W12" s="13">
        <f t="shared" si="7"/>
        <v>0</v>
      </c>
      <c r="X12" s="13">
        <f t="shared" si="8"/>
        <v>0</v>
      </c>
      <c r="Y12" s="13"/>
      <c r="Z12" s="13">
        <f t="shared" si="9"/>
        <v>0</v>
      </c>
      <c r="AA12" s="13">
        <f t="shared" si="10"/>
        <v>0</v>
      </c>
    </row>
    <row r="13" spans="2:27">
      <c r="B13" s="1">
        <v>40544</v>
      </c>
      <c r="C13" s="25">
        <f>Gas!C12</f>
        <v>0</v>
      </c>
      <c r="D13" s="12">
        <f>C13*E$2</f>
        <v>0</v>
      </c>
      <c r="E13" s="13">
        <f t="shared" ref="E13:E31" si="12">D13*E$5</f>
        <v>0</v>
      </c>
      <c r="G13" s="13">
        <f t="shared" ref="G13:G31" si="13">D13*E$1</f>
        <v>0</v>
      </c>
      <c r="H13" s="13">
        <f t="shared" ref="H13:H31" si="14">E13*E$1</f>
        <v>0</v>
      </c>
      <c r="I13" s="13"/>
      <c r="J13" s="1">
        <v>40544</v>
      </c>
      <c r="K13" s="51">
        <f>Elec!B14</f>
        <v>0</v>
      </c>
      <c r="L13" s="16">
        <f>Elec!C14</f>
        <v>0</v>
      </c>
      <c r="M13" s="13">
        <f t="shared" si="11"/>
        <v>0</v>
      </c>
      <c r="N13" s="2">
        <f>-(Elec!E14)</f>
        <v>0</v>
      </c>
      <c r="P13" s="13">
        <f>((M13-N13)*E$4)+N13</f>
        <v>0</v>
      </c>
      <c r="R13" s="13">
        <f>M13*E$3</f>
        <v>0</v>
      </c>
      <c r="S13" s="13">
        <f>((M13-N13)*E$4+N13)*E$3</f>
        <v>0</v>
      </c>
      <c r="T13" s="8">
        <f>HDD!B14</f>
        <v>1058</v>
      </c>
      <c r="U13" s="8">
        <f>CDD!B14</f>
        <v>0</v>
      </c>
      <c r="W13" s="13">
        <f>G13+M13</f>
        <v>0</v>
      </c>
      <c r="X13" s="13">
        <f>H13+P13</f>
        <v>0</v>
      </c>
      <c r="Y13" s="13"/>
      <c r="Z13" s="13">
        <f>D13+R13</f>
        <v>0</v>
      </c>
      <c r="AA13" s="13">
        <f>E13+S13</f>
        <v>0</v>
      </c>
    </row>
    <row r="14" spans="2:27">
      <c r="B14" s="1">
        <v>40575</v>
      </c>
      <c r="C14" s="25">
        <f>Gas!C13</f>
        <v>0</v>
      </c>
      <c r="D14" s="12">
        <f t="shared" ref="D14:D31" si="15">C14*E$2</f>
        <v>0</v>
      </c>
      <c r="E14" s="13">
        <f t="shared" si="12"/>
        <v>0</v>
      </c>
      <c r="G14" s="13">
        <f t="shared" si="13"/>
        <v>0</v>
      </c>
      <c r="H14" s="13">
        <f t="shared" si="14"/>
        <v>0</v>
      </c>
      <c r="I14" s="13"/>
      <c r="J14" s="1">
        <v>40575</v>
      </c>
      <c r="K14" s="51">
        <f>Elec!B15</f>
        <v>0</v>
      </c>
      <c r="L14" s="16">
        <f>Elec!C15</f>
        <v>0</v>
      </c>
      <c r="M14" s="13">
        <f t="shared" si="11"/>
        <v>0</v>
      </c>
      <c r="N14" s="2">
        <f>-(Elec!E15)</f>
        <v>0</v>
      </c>
      <c r="P14" s="13">
        <f t="shared" ref="P14:P31" si="16">((M14-N14)*E$4)+N14</f>
        <v>0</v>
      </c>
      <c r="R14" s="13">
        <f t="shared" ref="R14:R31" si="17">M14*E$3</f>
        <v>0</v>
      </c>
      <c r="S14" s="13">
        <f t="shared" ref="S14:S31" si="18">((M14-N14)*E$4+N14)*E$3</f>
        <v>0</v>
      </c>
      <c r="T14" s="8">
        <f>HDD!B15</f>
        <v>909</v>
      </c>
      <c r="U14" s="8">
        <f>CDD!B15</f>
        <v>0</v>
      </c>
      <c r="W14" s="13">
        <f t="shared" ref="W14:W31" si="19">G14+M14</f>
        <v>0</v>
      </c>
      <c r="X14" s="13">
        <f t="shared" ref="X14:X31" si="20">H14+P14</f>
        <v>0</v>
      </c>
      <c r="Y14" s="13"/>
      <c r="Z14" s="13">
        <f t="shared" ref="Z14:Z31" si="21">D14+R14</f>
        <v>0</v>
      </c>
      <c r="AA14" s="13">
        <f t="shared" ref="AA14:AA31" si="22">E14+S14</f>
        <v>0</v>
      </c>
    </row>
    <row r="15" spans="2:27">
      <c r="B15" s="1">
        <v>40603</v>
      </c>
      <c r="C15" s="25">
        <f>Gas!C14</f>
        <v>0</v>
      </c>
      <c r="D15" s="12">
        <f t="shared" si="15"/>
        <v>0</v>
      </c>
      <c r="E15" s="13">
        <f t="shared" si="12"/>
        <v>0</v>
      </c>
      <c r="G15" s="13">
        <f t="shared" si="13"/>
        <v>0</v>
      </c>
      <c r="H15" s="13">
        <f t="shared" si="14"/>
        <v>0</v>
      </c>
      <c r="I15" s="13"/>
      <c r="J15" s="1">
        <v>40603</v>
      </c>
      <c r="K15" s="51">
        <f>Elec!B16</f>
        <v>0</v>
      </c>
      <c r="L15" s="16">
        <f>Elec!C16</f>
        <v>0</v>
      </c>
      <c r="M15" s="13">
        <f t="shared" si="11"/>
        <v>0</v>
      </c>
      <c r="N15" s="2">
        <f>-(Elec!E16)</f>
        <v>0</v>
      </c>
      <c r="P15" s="13">
        <f t="shared" si="16"/>
        <v>0</v>
      </c>
      <c r="R15" s="13">
        <f t="shared" si="17"/>
        <v>0</v>
      </c>
      <c r="S15" s="13">
        <f t="shared" si="18"/>
        <v>0</v>
      </c>
      <c r="T15" s="8">
        <f>HDD!B16</f>
        <v>538</v>
      </c>
      <c r="U15" s="8">
        <f>CDD!B16</f>
        <v>6</v>
      </c>
      <c r="W15" s="13">
        <f t="shared" si="19"/>
        <v>0</v>
      </c>
      <c r="X15" s="13">
        <f t="shared" si="20"/>
        <v>0</v>
      </c>
      <c r="Y15" s="13"/>
      <c r="Z15" s="13">
        <f t="shared" si="21"/>
        <v>0</v>
      </c>
      <c r="AA15" s="13">
        <f t="shared" si="22"/>
        <v>0</v>
      </c>
    </row>
    <row r="16" spans="2:27">
      <c r="B16" s="1">
        <v>40634</v>
      </c>
      <c r="C16" s="25">
        <f>Gas!C15</f>
        <v>0</v>
      </c>
      <c r="D16" s="12">
        <f t="shared" si="15"/>
        <v>0</v>
      </c>
      <c r="E16" s="13">
        <f t="shared" si="12"/>
        <v>0</v>
      </c>
      <c r="G16" s="13">
        <f t="shared" si="13"/>
        <v>0</v>
      </c>
      <c r="H16" s="13">
        <f t="shared" si="14"/>
        <v>0</v>
      </c>
      <c r="I16" s="13"/>
      <c r="J16" s="1">
        <v>40634</v>
      </c>
      <c r="K16" s="51">
        <f>Elec!B17</f>
        <v>0</v>
      </c>
      <c r="L16" s="16">
        <f>Elec!C17</f>
        <v>0</v>
      </c>
      <c r="M16" s="13">
        <f t="shared" si="11"/>
        <v>0</v>
      </c>
      <c r="N16" s="2">
        <f>-(Elec!E17)</f>
        <v>0</v>
      </c>
      <c r="P16" s="13">
        <f t="shared" si="16"/>
        <v>0</v>
      </c>
      <c r="R16" s="13">
        <f t="shared" si="17"/>
        <v>0</v>
      </c>
      <c r="S16" s="13">
        <f t="shared" si="18"/>
        <v>0</v>
      </c>
      <c r="T16" s="8">
        <f>HDD!B17</f>
        <v>313</v>
      </c>
      <c r="U16" s="8">
        <f>CDD!B17</f>
        <v>40</v>
      </c>
      <c r="W16" s="13">
        <f t="shared" si="19"/>
        <v>0</v>
      </c>
      <c r="X16" s="13">
        <f t="shared" si="20"/>
        <v>0</v>
      </c>
      <c r="Y16" s="13"/>
      <c r="Z16" s="13">
        <f t="shared" si="21"/>
        <v>0</v>
      </c>
      <c r="AA16" s="13">
        <f t="shared" si="22"/>
        <v>0</v>
      </c>
    </row>
    <row r="17" spans="2:27">
      <c r="B17" s="1">
        <v>40664</v>
      </c>
      <c r="C17" s="25">
        <f>Gas!C16</f>
        <v>0</v>
      </c>
      <c r="D17" s="12">
        <f t="shared" si="15"/>
        <v>0</v>
      </c>
      <c r="E17" s="13">
        <f t="shared" si="12"/>
        <v>0</v>
      </c>
      <c r="G17" s="13">
        <f t="shared" si="13"/>
        <v>0</v>
      </c>
      <c r="H17" s="13">
        <f t="shared" si="14"/>
        <v>0</v>
      </c>
      <c r="I17" s="13"/>
      <c r="J17" s="1">
        <v>40664</v>
      </c>
      <c r="K17" s="51">
        <f>Elec!B18</f>
        <v>0</v>
      </c>
      <c r="L17" s="16">
        <f>Elec!C18</f>
        <v>0</v>
      </c>
      <c r="M17" s="13">
        <f t="shared" si="11"/>
        <v>0</v>
      </c>
      <c r="N17" s="2">
        <f>-(Elec!E18)</f>
        <v>0</v>
      </c>
      <c r="P17" s="13">
        <f t="shared" si="16"/>
        <v>0</v>
      </c>
      <c r="R17" s="13">
        <f t="shared" si="17"/>
        <v>0</v>
      </c>
      <c r="S17" s="13">
        <f t="shared" si="18"/>
        <v>0</v>
      </c>
      <c r="T17" s="8">
        <f>HDD!B18</f>
        <v>119</v>
      </c>
      <c r="U17" s="8">
        <f>CDD!B18</f>
        <v>93</v>
      </c>
      <c r="W17" s="13">
        <f t="shared" si="19"/>
        <v>0</v>
      </c>
      <c r="X17" s="13">
        <f t="shared" si="20"/>
        <v>0</v>
      </c>
      <c r="Y17" s="13"/>
      <c r="Z17" s="13">
        <f t="shared" si="21"/>
        <v>0</v>
      </c>
      <c r="AA17" s="13">
        <f t="shared" si="22"/>
        <v>0</v>
      </c>
    </row>
    <row r="18" spans="2:27">
      <c r="B18" s="1">
        <v>40695</v>
      </c>
      <c r="C18" s="25">
        <f>Gas!C17</f>
        <v>0</v>
      </c>
      <c r="D18" s="12">
        <f t="shared" si="15"/>
        <v>0</v>
      </c>
      <c r="E18" s="13">
        <f t="shared" si="12"/>
        <v>0</v>
      </c>
      <c r="G18" s="13">
        <f t="shared" si="13"/>
        <v>0</v>
      </c>
      <c r="H18" s="13">
        <f t="shared" si="14"/>
        <v>0</v>
      </c>
      <c r="I18" s="13"/>
      <c r="J18" s="1">
        <v>40695</v>
      </c>
      <c r="K18" s="51">
        <f>Elec!B19</f>
        <v>0</v>
      </c>
      <c r="L18" s="16">
        <f>Elec!C19</f>
        <v>0</v>
      </c>
      <c r="M18" s="13">
        <f t="shared" si="11"/>
        <v>0</v>
      </c>
      <c r="N18" s="2">
        <f>-(Elec!E19)</f>
        <v>0</v>
      </c>
      <c r="P18" s="13">
        <f t="shared" si="16"/>
        <v>0</v>
      </c>
      <c r="R18" s="13">
        <f t="shared" si="17"/>
        <v>0</v>
      </c>
      <c r="S18" s="13">
        <f t="shared" si="18"/>
        <v>0</v>
      </c>
      <c r="T18" s="8">
        <f>HDD!B19</f>
        <v>11</v>
      </c>
      <c r="U18" s="8">
        <f>CDD!B19</f>
        <v>293</v>
      </c>
      <c r="W18" s="13">
        <f t="shared" si="19"/>
        <v>0</v>
      </c>
      <c r="X18" s="13">
        <f t="shared" si="20"/>
        <v>0</v>
      </c>
      <c r="Y18" s="13"/>
      <c r="Z18" s="13">
        <f t="shared" si="21"/>
        <v>0</v>
      </c>
      <c r="AA18" s="13">
        <f t="shared" si="22"/>
        <v>0</v>
      </c>
    </row>
    <row r="19" spans="2:27">
      <c r="B19" s="1">
        <v>40735</v>
      </c>
      <c r="C19" s="25">
        <f>Gas!C18</f>
        <v>0</v>
      </c>
      <c r="D19" s="12">
        <f t="shared" si="15"/>
        <v>0</v>
      </c>
      <c r="E19" s="13">
        <f t="shared" si="12"/>
        <v>0</v>
      </c>
      <c r="G19" s="13">
        <f t="shared" si="13"/>
        <v>0</v>
      </c>
      <c r="H19" s="13">
        <f t="shared" si="14"/>
        <v>0</v>
      </c>
      <c r="I19" s="13"/>
      <c r="J19" s="1">
        <v>40725</v>
      </c>
      <c r="K19" s="51">
        <f>Elec!B20</f>
        <v>0</v>
      </c>
      <c r="L19" s="16">
        <f>Elec!C20</f>
        <v>0</v>
      </c>
      <c r="M19" s="13">
        <f t="shared" si="11"/>
        <v>0</v>
      </c>
      <c r="N19" s="2">
        <f>-(Elec!E20)</f>
        <v>0</v>
      </c>
      <c r="P19" s="13">
        <f t="shared" si="16"/>
        <v>0</v>
      </c>
      <c r="R19" s="13">
        <f t="shared" si="17"/>
        <v>0</v>
      </c>
      <c r="S19" s="13">
        <f t="shared" si="18"/>
        <v>0</v>
      </c>
      <c r="T19" s="8">
        <f>HDD!B20</f>
        <v>25</v>
      </c>
      <c r="U19" s="8">
        <f>CDD!B20</f>
        <v>193</v>
      </c>
      <c r="W19" s="13">
        <f t="shared" si="19"/>
        <v>0</v>
      </c>
      <c r="X19" s="13">
        <f t="shared" si="20"/>
        <v>0</v>
      </c>
      <c r="Y19" s="13"/>
      <c r="Z19" s="13">
        <f t="shared" si="21"/>
        <v>0</v>
      </c>
      <c r="AA19" s="13">
        <f t="shared" si="22"/>
        <v>0</v>
      </c>
    </row>
    <row r="20" spans="2:27">
      <c r="B20" s="1">
        <v>40766</v>
      </c>
      <c r="C20" s="25">
        <f>Gas!C19</f>
        <v>0</v>
      </c>
      <c r="D20" s="12">
        <f t="shared" si="15"/>
        <v>0</v>
      </c>
      <c r="E20" s="13">
        <f t="shared" si="12"/>
        <v>0</v>
      </c>
      <c r="G20" s="13">
        <f t="shared" si="13"/>
        <v>0</v>
      </c>
      <c r="H20" s="13">
        <f t="shared" si="14"/>
        <v>0</v>
      </c>
      <c r="I20" s="13"/>
      <c r="J20" s="1">
        <v>40756</v>
      </c>
      <c r="K20" s="51">
        <f>Elec!B21</f>
        <v>12</v>
      </c>
      <c r="L20" s="16">
        <f>Elec!C21</f>
        <v>0</v>
      </c>
      <c r="M20" s="13">
        <f t="shared" si="11"/>
        <v>12</v>
      </c>
      <c r="N20" s="2">
        <f>-(Elec!E21)</f>
        <v>0</v>
      </c>
      <c r="P20" s="13">
        <f t="shared" si="16"/>
        <v>40.08</v>
      </c>
      <c r="R20" s="13">
        <f t="shared" si="17"/>
        <v>4.0955999999999999E-2</v>
      </c>
      <c r="S20" s="13">
        <f t="shared" si="18"/>
        <v>0.13679303999999998</v>
      </c>
      <c r="T20" s="8">
        <f>HDD!B21</f>
        <v>100</v>
      </c>
      <c r="U20" s="8">
        <f>CDD!B21</f>
        <v>95</v>
      </c>
      <c r="W20" s="13">
        <f t="shared" si="19"/>
        <v>12</v>
      </c>
      <c r="X20" s="13">
        <f t="shared" si="20"/>
        <v>40.08</v>
      </c>
      <c r="Y20" s="13"/>
      <c r="Z20" s="13">
        <f t="shared" si="21"/>
        <v>4.0955999999999999E-2</v>
      </c>
      <c r="AA20" s="13">
        <f t="shared" si="22"/>
        <v>0.13679303999999998</v>
      </c>
    </row>
    <row r="21" spans="2:27">
      <c r="B21" s="1">
        <v>40797</v>
      </c>
      <c r="C21" s="25">
        <f>Gas!C20</f>
        <v>0</v>
      </c>
      <c r="D21" s="12">
        <f t="shared" si="15"/>
        <v>0</v>
      </c>
      <c r="E21" s="13">
        <f t="shared" si="12"/>
        <v>0</v>
      </c>
      <c r="G21" s="13">
        <f t="shared" si="13"/>
        <v>0</v>
      </c>
      <c r="H21" s="13">
        <f t="shared" si="14"/>
        <v>0</v>
      </c>
      <c r="I21" s="13"/>
      <c r="J21" s="1">
        <v>40787</v>
      </c>
      <c r="K21" s="51">
        <f>Elec!B22</f>
        <v>72</v>
      </c>
      <c r="L21" s="16">
        <f>Elec!C22</f>
        <v>0</v>
      </c>
      <c r="M21" s="13">
        <f t="shared" si="11"/>
        <v>72</v>
      </c>
      <c r="N21" s="2">
        <f>-(Elec!E22)</f>
        <v>0</v>
      </c>
      <c r="P21" s="13">
        <f t="shared" si="16"/>
        <v>240.48</v>
      </c>
      <c r="R21" s="13">
        <f t="shared" si="17"/>
        <v>0.24573599999999998</v>
      </c>
      <c r="S21" s="13">
        <f t="shared" si="18"/>
        <v>0.82075823999999997</v>
      </c>
      <c r="T21" s="8">
        <f>HDD!B22</f>
        <v>376</v>
      </c>
      <c r="U21" s="8">
        <f>CDD!B22</f>
        <v>16</v>
      </c>
      <c r="W21" s="13">
        <f t="shared" si="19"/>
        <v>72</v>
      </c>
      <c r="X21" s="13">
        <f t="shared" si="20"/>
        <v>240.48</v>
      </c>
      <c r="Y21" s="13"/>
      <c r="Z21" s="13">
        <f t="shared" si="21"/>
        <v>0.24573599999999998</v>
      </c>
      <c r="AA21" s="13">
        <f t="shared" si="22"/>
        <v>0.82075823999999997</v>
      </c>
    </row>
    <row r="22" spans="2:27">
      <c r="B22" s="1">
        <v>40827</v>
      </c>
      <c r="C22" s="25">
        <f>Gas!C21</f>
        <v>0</v>
      </c>
      <c r="D22" s="12">
        <f t="shared" si="15"/>
        <v>0</v>
      </c>
      <c r="E22" s="13">
        <f t="shared" si="12"/>
        <v>0</v>
      </c>
      <c r="G22" s="13">
        <f t="shared" si="13"/>
        <v>0</v>
      </c>
      <c r="H22" s="13">
        <f t="shared" si="14"/>
        <v>0</v>
      </c>
      <c r="I22" s="13"/>
      <c r="J22" s="1">
        <v>40817</v>
      </c>
      <c r="K22" s="51">
        <f>Elec!B23</f>
        <v>168</v>
      </c>
      <c r="L22" s="16">
        <f>Elec!C23</f>
        <v>0</v>
      </c>
      <c r="M22" s="13">
        <f t="shared" si="11"/>
        <v>168</v>
      </c>
      <c r="N22" s="2">
        <f>-(Elec!E23)</f>
        <v>0</v>
      </c>
      <c r="P22" s="13">
        <f t="shared" si="16"/>
        <v>561.12</v>
      </c>
      <c r="R22" s="13">
        <f t="shared" si="17"/>
        <v>0.573384</v>
      </c>
      <c r="S22" s="13">
        <f t="shared" si="18"/>
        <v>1.91510256</v>
      </c>
      <c r="T22" s="8">
        <f>HDD!B23</f>
        <v>532</v>
      </c>
      <c r="U22" s="8">
        <f>CDD!B23</f>
        <v>1</v>
      </c>
      <c r="W22" s="13">
        <f t="shared" si="19"/>
        <v>168</v>
      </c>
      <c r="X22" s="13">
        <f t="shared" si="20"/>
        <v>561.12</v>
      </c>
      <c r="Y22" s="13"/>
      <c r="Z22" s="13">
        <f t="shared" si="21"/>
        <v>0.573384</v>
      </c>
      <c r="AA22" s="13">
        <f t="shared" si="22"/>
        <v>1.91510256</v>
      </c>
    </row>
    <row r="23" spans="2:27">
      <c r="B23" s="1">
        <v>40858</v>
      </c>
      <c r="C23" s="25">
        <f>Gas!C22</f>
        <v>0</v>
      </c>
      <c r="D23" s="12">
        <f t="shared" si="15"/>
        <v>0</v>
      </c>
      <c r="E23" s="13">
        <f t="shared" si="12"/>
        <v>0</v>
      </c>
      <c r="G23" s="13">
        <f t="shared" si="13"/>
        <v>0</v>
      </c>
      <c r="H23" s="13">
        <f t="shared" si="14"/>
        <v>0</v>
      </c>
      <c r="I23" s="13"/>
      <c r="J23" s="1">
        <v>40848</v>
      </c>
      <c r="K23" s="51">
        <f>Elec!B24</f>
        <v>637</v>
      </c>
      <c r="L23" s="16">
        <f>Elec!C24</f>
        <v>0</v>
      </c>
      <c r="M23" s="13">
        <f t="shared" si="11"/>
        <v>637</v>
      </c>
      <c r="N23" s="2">
        <f>-(Elec!E24)</f>
        <v>0</v>
      </c>
      <c r="P23" s="13">
        <f t="shared" si="16"/>
        <v>2127.58</v>
      </c>
      <c r="R23" s="13">
        <f t="shared" si="17"/>
        <v>2.1740809999999997</v>
      </c>
      <c r="S23" s="13">
        <f t="shared" si="18"/>
        <v>7.2614305399999992</v>
      </c>
      <c r="T23" s="8">
        <f>HDD!B24</f>
        <v>846</v>
      </c>
      <c r="U23" s="8">
        <f>CDD!B24</f>
        <v>0</v>
      </c>
      <c r="W23" s="13">
        <f t="shared" si="19"/>
        <v>637</v>
      </c>
      <c r="X23" s="13">
        <f t="shared" si="20"/>
        <v>2127.58</v>
      </c>
      <c r="Y23" s="13"/>
      <c r="Z23" s="13">
        <f t="shared" si="21"/>
        <v>2.1740809999999997</v>
      </c>
      <c r="AA23" s="13">
        <f t="shared" si="22"/>
        <v>7.2614305399999992</v>
      </c>
    </row>
    <row r="24" spans="2:27">
      <c r="B24" s="1">
        <v>40888</v>
      </c>
      <c r="C24" s="25">
        <f>Gas!C23</f>
        <v>0</v>
      </c>
      <c r="D24" s="12">
        <f t="shared" si="15"/>
        <v>0</v>
      </c>
      <c r="E24" s="13">
        <f t="shared" si="12"/>
        <v>0</v>
      </c>
      <c r="G24" s="13">
        <f t="shared" si="13"/>
        <v>0</v>
      </c>
      <c r="H24" s="13">
        <f t="shared" si="14"/>
        <v>0</v>
      </c>
      <c r="I24" s="13"/>
      <c r="J24" s="1">
        <v>40878</v>
      </c>
      <c r="K24" s="51">
        <f>Elec!B25</f>
        <v>1027</v>
      </c>
      <c r="L24" s="16">
        <f>Elec!C25</f>
        <v>0</v>
      </c>
      <c r="M24" s="13">
        <f t="shared" si="11"/>
        <v>1027</v>
      </c>
      <c r="N24" s="2">
        <f>-(Elec!E25)</f>
        <v>0</v>
      </c>
      <c r="P24" s="13">
        <f t="shared" si="16"/>
        <v>3430.18</v>
      </c>
      <c r="R24" s="13">
        <f t="shared" si="17"/>
        <v>3.5051509999999997</v>
      </c>
      <c r="S24" s="13">
        <f t="shared" si="18"/>
        <v>11.707204339999999</v>
      </c>
      <c r="T24" s="8">
        <f>HDD!B25</f>
        <v>1016</v>
      </c>
      <c r="U24" s="8">
        <f>CDD!B25</f>
        <v>0</v>
      </c>
      <c r="W24" s="13">
        <f t="shared" si="19"/>
        <v>1027</v>
      </c>
      <c r="X24" s="13">
        <f t="shared" si="20"/>
        <v>3430.18</v>
      </c>
      <c r="Y24" s="13"/>
      <c r="Z24" s="13">
        <f t="shared" si="21"/>
        <v>3.5051509999999997</v>
      </c>
      <c r="AA24" s="13">
        <f t="shared" si="22"/>
        <v>11.707204339999999</v>
      </c>
    </row>
    <row r="25" spans="2:27">
      <c r="B25" s="1">
        <v>40920</v>
      </c>
      <c r="C25" s="25">
        <f>Gas!C24</f>
        <v>0</v>
      </c>
      <c r="D25" s="12">
        <f t="shared" si="15"/>
        <v>0</v>
      </c>
      <c r="E25" s="13">
        <f t="shared" si="12"/>
        <v>0</v>
      </c>
      <c r="G25" s="13">
        <f t="shared" si="13"/>
        <v>0</v>
      </c>
      <c r="H25" s="13">
        <f t="shared" si="14"/>
        <v>0</v>
      </c>
      <c r="I25" s="13"/>
      <c r="J25" s="1">
        <v>40909</v>
      </c>
      <c r="K25" s="51">
        <f>Elec!B26</f>
        <v>1438</v>
      </c>
      <c r="L25" s="16">
        <f>Elec!C26</f>
        <v>0</v>
      </c>
      <c r="M25" s="13">
        <f t="shared" si="11"/>
        <v>1438</v>
      </c>
      <c r="N25" s="2">
        <f>-(Elec!E26)</f>
        <v>0</v>
      </c>
      <c r="P25" s="13">
        <f t="shared" si="16"/>
        <v>4802.92</v>
      </c>
      <c r="R25" s="13">
        <f t="shared" si="17"/>
        <v>4.9078939999999998</v>
      </c>
      <c r="S25" s="13">
        <f t="shared" si="18"/>
        <v>16.392365959999999</v>
      </c>
      <c r="T25" s="8">
        <f>HDD!B26</f>
        <v>878</v>
      </c>
      <c r="U25" s="8">
        <f>CDD!B26</f>
        <v>0</v>
      </c>
      <c r="W25" s="35">
        <f t="shared" si="19"/>
        <v>1438</v>
      </c>
      <c r="X25" s="36">
        <f t="shared" si="20"/>
        <v>4802.92</v>
      </c>
      <c r="Y25" s="36"/>
      <c r="Z25" s="36">
        <f t="shared" si="21"/>
        <v>4.9078939999999998</v>
      </c>
      <c r="AA25" s="37">
        <f t="shared" si="22"/>
        <v>16.392365959999999</v>
      </c>
    </row>
    <row r="26" spans="2:27">
      <c r="B26" s="1">
        <v>40940</v>
      </c>
      <c r="C26" s="25">
        <f>Gas!C25</f>
        <v>0</v>
      </c>
      <c r="D26" s="12">
        <f t="shared" si="15"/>
        <v>0</v>
      </c>
      <c r="E26" s="13">
        <f t="shared" si="12"/>
        <v>0</v>
      </c>
      <c r="G26" s="13">
        <f t="shared" si="13"/>
        <v>0</v>
      </c>
      <c r="H26" s="13">
        <f t="shared" si="14"/>
        <v>0</v>
      </c>
      <c r="I26" s="13"/>
      <c r="J26" s="1">
        <v>40940</v>
      </c>
      <c r="K26" s="51">
        <f>Elec!B27</f>
        <v>1380</v>
      </c>
      <c r="L26" s="16">
        <f>Elec!C27</f>
        <v>0</v>
      </c>
      <c r="M26" s="13">
        <f t="shared" si="11"/>
        <v>1380</v>
      </c>
      <c r="N26" s="2">
        <f>-(Elec!E27)</f>
        <v>0</v>
      </c>
      <c r="P26" s="13">
        <f t="shared" si="16"/>
        <v>4609.2</v>
      </c>
      <c r="R26" s="13">
        <f t="shared" si="17"/>
        <v>4.7099399999999996</v>
      </c>
      <c r="S26" s="13">
        <f t="shared" si="18"/>
        <v>15.731199599999998</v>
      </c>
      <c r="T26" s="8">
        <f>HDD!B27</f>
        <v>650</v>
      </c>
      <c r="U26" s="8">
        <f>CDD!B27</f>
        <v>20</v>
      </c>
      <c r="W26" s="38">
        <f t="shared" si="19"/>
        <v>1380</v>
      </c>
      <c r="X26" s="39">
        <f t="shared" si="20"/>
        <v>4609.2</v>
      </c>
      <c r="Y26" s="39"/>
      <c r="Z26" s="39">
        <f t="shared" si="21"/>
        <v>4.7099399999999996</v>
      </c>
      <c r="AA26" s="40">
        <f t="shared" si="22"/>
        <v>15.731199599999998</v>
      </c>
    </row>
    <row r="27" spans="2:27">
      <c r="B27" s="1">
        <v>40969</v>
      </c>
      <c r="C27" s="25">
        <f>Gas!C26</f>
        <v>0</v>
      </c>
      <c r="D27" s="12">
        <f t="shared" si="15"/>
        <v>0</v>
      </c>
      <c r="E27" s="13">
        <f t="shared" si="12"/>
        <v>0</v>
      </c>
      <c r="G27" s="13">
        <f t="shared" si="13"/>
        <v>0</v>
      </c>
      <c r="H27" s="13">
        <f t="shared" si="14"/>
        <v>0</v>
      </c>
      <c r="I27" s="13"/>
      <c r="J27" s="1">
        <v>40969</v>
      </c>
      <c r="K27" s="51">
        <f>Elec!B28</f>
        <v>1181</v>
      </c>
      <c r="L27" s="16">
        <f>Elec!C28</f>
        <v>0</v>
      </c>
      <c r="M27" s="13">
        <f t="shared" si="11"/>
        <v>1181</v>
      </c>
      <c r="N27" s="2">
        <f>-(Elec!E28)</f>
        <v>0</v>
      </c>
      <c r="P27" s="13">
        <f t="shared" si="16"/>
        <v>3944.54</v>
      </c>
      <c r="R27" s="13">
        <f t="shared" si="17"/>
        <v>4.0307529999999998</v>
      </c>
      <c r="S27" s="13">
        <f t="shared" si="18"/>
        <v>13.462715019999999</v>
      </c>
      <c r="T27" s="8">
        <f>HDD!B28</f>
        <v>452</v>
      </c>
      <c r="U27" s="8">
        <f>CDD!B28</f>
        <v>23</v>
      </c>
      <c r="W27" s="38">
        <f t="shared" si="19"/>
        <v>1181</v>
      </c>
      <c r="X27" s="39">
        <f t="shared" si="20"/>
        <v>3944.54</v>
      </c>
      <c r="Y27" s="39"/>
      <c r="Z27" s="39">
        <f t="shared" si="21"/>
        <v>4.0307529999999998</v>
      </c>
      <c r="AA27" s="40">
        <f t="shared" si="22"/>
        <v>13.462715019999999</v>
      </c>
    </row>
    <row r="28" spans="2:27">
      <c r="B28" s="1">
        <v>41000</v>
      </c>
      <c r="C28" s="25">
        <f>Gas!C27</f>
        <v>0</v>
      </c>
      <c r="D28" s="12">
        <f t="shared" si="15"/>
        <v>0</v>
      </c>
      <c r="E28" s="13">
        <f t="shared" si="12"/>
        <v>0</v>
      </c>
      <c r="G28" s="13">
        <f t="shared" si="13"/>
        <v>0</v>
      </c>
      <c r="H28" s="13">
        <f t="shared" si="14"/>
        <v>0</v>
      </c>
      <c r="I28" s="13"/>
      <c r="J28" s="1">
        <v>41000</v>
      </c>
      <c r="K28" s="51">
        <f>Elec!B29</f>
        <v>819</v>
      </c>
      <c r="L28" s="16">
        <f>Elec!C29</f>
        <v>0</v>
      </c>
      <c r="M28" s="13">
        <f t="shared" si="11"/>
        <v>819</v>
      </c>
      <c r="N28" s="2">
        <f>-(Elec!E29)</f>
        <v>0</v>
      </c>
      <c r="P28" s="13">
        <f t="shared" si="16"/>
        <v>2735.46</v>
      </c>
      <c r="R28" s="13">
        <f t="shared" si="17"/>
        <v>2.7952469999999998</v>
      </c>
      <c r="S28" s="13">
        <f t="shared" si="18"/>
        <v>9.3361249799999992</v>
      </c>
      <c r="T28" s="8">
        <f>HDD!B29</f>
        <v>249</v>
      </c>
      <c r="U28" s="8">
        <f>CDD!B29</f>
        <v>32</v>
      </c>
      <c r="W28" s="38">
        <f t="shared" si="19"/>
        <v>819</v>
      </c>
      <c r="X28" s="39">
        <f t="shared" si="20"/>
        <v>2735.46</v>
      </c>
      <c r="Y28" s="39"/>
      <c r="Z28" s="39">
        <f t="shared" si="21"/>
        <v>2.7952469999999998</v>
      </c>
      <c r="AA28" s="40">
        <f t="shared" si="22"/>
        <v>9.3361249799999992</v>
      </c>
    </row>
    <row r="29" spans="2:27">
      <c r="B29" s="1">
        <v>41030</v>
      </c>
      <c r="C29" s="25">
        <f>Gas!C28</f>
        <v>0</v>
      </c>
      <c r="D29" s="12">
        <f t="shared" si="15"/>
        <v>0</v>
      </c>
      <c r="E29" s="13">
        <f t="shared" si="12"/>
        <v>0</v>
      </c>
      <c r="G29" s="13">
        <f t="shared" si="13"/>
        <v>0</v>
      </c>
      <c r="H29" s="13">
        <f t="shared" si="14"/>
        <v>0</v>
      </c>
      <c r="I29" s="13"/>
      <c r="J29" s="1">
        <v>41030</v>
      </c>
      <c r="K29" s="51">
        <f>Elec!B30</f>
        <v>723</v>
      </c>
      <c r="L29" s="16">
        <f>Elec!C30</f>
        <v>0</v>
      </c>
      <c r="M29" s="13">
        <f t="shared" si="11"/>
        <v>723</v>
      </c>
      <c r="N29" s="2">
        <f>-(Elec!E30)</f>
        <v>0</v>
      </c>
      <c r="P29" s="13">
        <f t="shared" si="16"/>
        <v>2414.8199999999997</v>
      </c>
      <c r="R29" s="13">
        <f t="shared" si="17"/>
        <v>2.4675989999999999</v>
      </c>
      <c r="S29" s="13">
        <f t="shared" si="18"/>
        <v>8.2417806599999981</v>
      </c>
      <c r="T29" s="8">
        <f>HDD!B30</f>
        <v>128</v>
      </c>
      <c r="U29" s="8">
        <f>CDD!B30</f>
        <v>119</v>
      </c>
      <c r="W29" s="38">
        <f t="shared" si="19"/>
        <v>723</v>
      </c>
      <c r="X29" s="39">
        <f t="shared" si="20"/>
        <v>2414.8199999999997</v>
      </c>
      <c r="Y29" s="39"/>
      <c r="Z29" s="39">
        <f t="shared" si="21"/>
        <v>2.4675989999999999</v>
      </c>
      <c r="AA29" s="40">
        <f t="shared" si="22"/>
        <v>8.2417806599999981</v>
      </c>
    </row>
    <row r="30" spans="2:27">
      <c r="B30" s="1">
        <v>41061</v>
      </c>
      <c r="C30" s="25">
        <f>Gas!C29</f>
        <v>0</v>
      </c>
      <c r="D30" s="12">
        <f t="shared" si="15"/>
        <v>0</v>
      </c>
      <c r="E30" s="13">
        <f t="shared" si="12"/>
        <v>0</v>
      </c>
      <c r="G30" s="13">
        <f t="shared" si="13"/>
        <v>0</v>
      </c>
      <c r="H30" s="13">
        <f t="shared" si="14"/>
        <v>0</v>
      </c>
      <c r="I30" s="13"/>
      <c r="J30" s="1">
        <v>41061</v>
      </c>
      <c r="K30" s="51">
        <f>Elec!B31</f>
        <v>735</v>
      </c>
      <c r="L30" s="16">
        <f>Elec!C31</f>
        <v>0</v>
      </c>
      <c r="M30" s="13">
        <f t="shared" si="11"/>
        <v>735</v>
      </c>
      <c r="N30" s="2">
        <f>-(Elec!E31)</f>
        <v>0</v>
      </c>
      <c r="P30" s="13">
        <f t="shared" si="16"/>
        <v>2454.9</v>
      </c>
      <c r="R30" s="13">
        <f t="shared" si="17"/>
        <v>2.5085549999999999</v>
      </c>
      <c r="S30" s="13">
        <f t="shared" si="18"/>
        <v>8.3785737000000005</v>
      </c>
      <c r="T30" s="8">
        <f>HDD!B31</f>
        <v>14</v>
      </c>
      <c r="U30" s="8">
        <f>CDD!B31</f>
        <v>269</v>
      </c>
      <c r="W30" s="38">
        <f t="shared" si="19"/>
        <v>735</v>
      </c>
      <c r="X30" s="39">
        <f t="shared" si="20"/>
        <v>2454.9</v>
      </c>
      <c r="Y30" s="39"/>
      <c r="Z30" s="39">
        <f t="shared" si="21"/>
        <v>2.5085549999999999</v>
      </c>
      <c r="AA30" s="40">
        <f t="shared" si="22"/>
        <v>8.3785737000000005</v>
      </c>
    </row>
    <row r="31" spans="2:27">
      <c r="B31" s="1">
        <v>41101</v>
      </c>
      <c r="C31" s="25">
        <f>Gas!C30</f>
        <v>0</v>
      </c>
      <c r="D31" s="12">
        <f t="shared" si="15"/>
        <v>0</v>
      </c>
      <c r="E31" s="13">
        <f t="shared" si="12"/>
        <v>0</v>
      </c>
      <c r="G31" s="13">
        <f t="shared" si="13"/>
        <v>0</v>
      </c>
      <c r="H31" s="13">
        <f t="shared" si="14"/>
        <v>0</v>
      </c>
      <c r="I31" s="13"/>
      <c r="J31" s="1">
        <v>41091</v>
      </c>
      <c r="K31" s="51">
        <f>Elec!B32</f>
        <v>889</v>
      </c>
      <c r="L31" s="16">
        <f>Elec!C32</f>
        <v>0</v>
      </c>
      <c r="M31" s="13">
        <f t="shared" si="11"/>
        <v>889</v>
      </c>
      <c r="N31" s="2">
        <f>-(Elec!E32)</f>
        <v>0</v>
      </c>
      <c r="P31" s="13">
        <f t="shared" si="16"/>
        <v>2969.2599999999998</v>
      </c>
      <c r="R31" s="13">
        <f t="shared" si="17"/>
        <v>3.034157</v>
      </c>
      <c r="S31" s="13">
        <f t="shared" si="18"/>
        <v>10.134084379999999</v>
      </c>
      <c r="T31" s="8">
        <f>HDD!B32</f>
        <v>16</v>
      </c>
      <c r="U31" s="8">
        <f>CDD!B32</f>
        <v>266</v>
      </c>
      <c r="W31" s="41">
        <f t="shared" si="19"/>
        <v>889</v>
      </c>
      <c r="X31" s="42">
        <f t="shared" si="20"/>
        <v>2969.2599999999998</v>
      </c>
      <c r="Y31" s="42"/>
      <c r="Z31" s="42">
        <f t="shared" si="21"/>
        <v>3.034157</v>
      </c>
      <c r="AA31" s="43">
        <f t="shared" si="22"/>
        <v>10.134084379999999</v>
      </c>
    </row>
    <row r="32" spans="2:27">
      <c r="B32" s="1"/>
      <c r="C32" s="25" t="s">
        <v>96</v>
      </c>
      <c r="D32" s="2"/>
      <c r="Q32" s="8" t="s">
        <v>97</v>
      </c>
      <c r="R32" s="13">
        <f>SUM(R26:R31)</f>
        <v>19.546251000000002</v>
      </c>
      <c r="S32" s="13">
        <f>SUM(S26:S31)</f>
        <v>65.284478339999993</v>
      </c>
    </row>
    <row r="33" spans="1:28">
      <c r="B33" s="8"/>
      <c r="C33" s="12"/>
      <c r="D33" s="2"/>
      <c r="M33" s="8" t="s">
        <v>35</v>
      </c>
    </row>
    <row r="34" spans="1:28" s="8" customFormat="1">
      <c r="C34" s="51"/>
      <c r="D34" s="52" t="s">
        <v>66</v>
      </c>
    </row>
    <row r="35" spans="1:28">
      <c r="D35" s="53">
        <f>MIN(D26:D31)</f>
        <v>0</v>
      </c>
      <c r="E35" s="54">
        <f t="shared" ref="E35" si="23">D35*E$5</f>
        <v>0</v>
      </c>
      <c r="F35" s="55"/>
      <c r="G35" s="54">
        <f t="shared" ref="G35" si="24">D35*E$1</f>
        <v>0</v>
      </c>
      <c r="H35" s="54">
        <f t="shared" ref="H35" si="25">E35*E$1</f>
        <v>0</v>
      </c>
      <c r="I35" s="55"/>
      <c r="J35" s="55"/>
      <c r="K35" s="55"/>
      <c r="L35" s="55"/>
      <c r="M35" s="54">
        <f>MIN(M26:M31)</f>
        <v>723</v>
      </c>
      <c r="N35" s="55"/>
      <c r="O35" s="55"/>
      <c r="P35" s="54"/>
      <c r="Q35" s="55"/>
      <c r="R35" s="54">
        <f t="shared" ref="R35" si="26">M35*E$3</f>
        <v>2.4675989999999999</v>
      </c>
      <c r="S35" s="54">
        <f t="shared" ref="S35" si="27">((M35-N35)*E$4+N35)*E$3</f>
        <v>8.2417806599999981</v>
      </c>
      <c r="T35" s="55"/>
      <c r="U35" s="55"/>
      <c r="V35" s="55"/>
      <c r="W35" s="54"/>
      <c r="X35" s="54"/>
      <c r="Y35" s="54"/>
      <c r="Z35" s="54">
        <f t="shared" ref="Z35" si="28">D35+R35</f>
        <v>2.4675989999999999</v>
      </c>
      <c r="AA35" s="56">
        <f t="shared" ref="AA35" si="29">E35+S35</f>
        <v>8.2417806599999981</v>
      </c>
    </row>
    <row r="36" spans="1:28" s="8" customFormat="1">
      <c r="D36" s="13"/>
      <c r="E36" s="13"/>
      <c r="G36" s="13"/>
      <c r="H36" s="13"/>
      <c r="M36" s="13"/>
      <c r="P36" s="13"/>
      <c r="R36" s="13"/>
      <c r="S36" s="13"/>
      <c r="W36" s="39"/>
      <c r="X36" s="39"/>
      <c r="Y36" s="39"/>
      <c r="Z36" s="39"/>
      <c r="AA36" s="39"/>
    </row>
    <row r="37" spans="1:28">
      <c r="M37" s="13">
        <f>SUM(M26:M31)</f>
        <v>5727</v>
      </c>
      <c r="U37" s="44" t="s">
        <v>53</v>
      </c>
      <c r="V37" s="45"/>
      <c r="W37" s="45"/>
      <c r="X37" s="45"/>
      <c r="Y37" s="45"/>
      <c r="Z37" s="45"/>
      <c r="AA37" s="45"/>
      <c r="AB37" s="27"/>
    </row>
    <row r="38" spans="1:28">
      <c r="U38" s="46"/>
      <c r="V38" s="18"/>
      <c r="W38" s="18" t="s">
        <v>18</v>
      </c>
      <c r="X38" s="18" t="s">
        <v>21</v>
      </c>
      <c r="Y38" s="18"/>
      <c r="Z38" s="18" t="s">
        <v>19</v>
      </c>
      <c r="AA38" s="18" t="s">
        <v>20</v>
      </c>
      <c r="AB38" s="29"/>
    </row>
    <row r="39" spans="1:28">
      <c r="A39" s="8" t="s">
        <v>92</v>
      </c>
      <c r="S39" s="13">
        <f>SUM(S26:S31)</f>
        <v>65.284478339999993</v>
      </c>
      <c r="U39" s="46"/>
      <c r="V39" s="18"/>
      <c r="W39" s="18"/>
      <c r="X39" s="18"/>
      <c r="Y39" s="18"/>
      <c r="Z39" s="18"/>
      <c r="AA39" s="18"/>
      <c r="AB39" s="29"/>
    </row>
    <row r="40" spans="1:28">
      <c r="U40" s="46" t="s">
        <v>52</v>
      </c>
      <c r="V40" s="18"/>
      <c r="W40" s="39">
        <f>SUM(W26:W31)</f>
        <v>5727</v>
      </c>
      <c r="X40" s="39">
        <f>SUM(X26:X31)</f>
        <v>19128.18</v>
      </c>
      <c r="Y40" s="18"/>
      <c r="Z40" s="39">
        <f>SUM(Z26:Z31)</f>
        <v>19.546251000000002</v>
      </c>
      <c r="AA40" s="39">
        <f>SUM(AA26:AA31)</f>
        <v>65.284478339999993</v>
      </c>
      <c r="AB40" s="29"/>
    </row>
    <row r="41" spans="1:28">
      <c r="U41" s="47"/>
      <c r="V41" s="48"/>
      <c r="W41" s="48"/>
      <c r="X41" s="48"/>
      <c r="Y41" s="48"/>
      <c r="Z41" s="48"/>
      <c r="AA41" s="48"/>
      <c r="AB41" s="31"/>
    </row>
  </sheetData>
  <mergeCells count="1">
    <mergeCell ref="K7:L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topLeftCell="A3" workbookViewId="0">
      <selection activeCell="G21" sqref="G21"/>
    </sheetView>
  </sheetViews>
  <sheetFormatPr defaultRowHeight="15"/>
  <cols>
    <col min="1" max="1" width="13.140625" bestFit="1" customWidth="1"/>
  </cols>
  <sheetData>
    <row r="1" spans="1:5">
      <c r="A1" s="8" t="s">
        <v>7</v>
      </c>
      <c r="B1" s="8" t="s">
        <v>8</v>
      </c>
      <c r="C1" s="8"/>
      <c r="D1" s="8"/>
      <c r="E1" s="8"/>
    </row>
    <row r="2" spans="1:5">
      <c r="A2" s="8" t="s">
        <v>9</v>
      </c>
      <c r="B2" s="8" t="s">
        <v>10</v>
      </c>
      <c r="C2" s="8"/>
      <c r="D2" s="8"/>
      <c r="E2" s="8"/>
    </row>
    <row r="3" spans="1:5">
      <c r="A3" s="8" t="s">
        <v>11</v>
      </c>
      <c r="B3" s="8" t="s">
        <v>12</v>
      </c>
      <c r="C3" s="8"/>
      <c r="D3" s="8"/>
      <c r="E3" s="8"/>
    </row>
    <row r="4" spans="1:5">
      <c r="A4" s="8" t="s">
        <v>13</v>
      </c>
      <c r="B4" s="8" t="s">
        <v>39</v>
      </c>
      <c r="C4" s="8"/>
      <c r="D4" s="8"/>
      <c r="E4" s="8"/>
    </row>
    <row r="5" spans="1:5">
      <c r="A5" s="8" t="s">
        <v>14</v>
      </c>
      <c r="B5" s="8" t="s">
        <v>40</v>
      </c>
      <c r="C5" s="8"/>
      <c r="D5" s="8"/>
      <c r="E5" s="8"/>
    </row>
    <row r="6" spans="1:5">
      <c r="A6" s="8"/>
      <c r="B6" s="8"/>
      <c r="C6" s="8"/>
      <c r="D6" s="8"/>
      <c r="E6" s="8"/>
    </row>
    <row r="7" spans="1:5">
      <c r="A7" s="8" t="s">
        <v>15</v>
      </c>
      <c r="B7" s="8" t="s">
        <v>1</v>
      </c>
      <c r="C7" s="8" t="s">
        <v>16</v>
      </c>
      <c r="D7" s="8"/>
      <c r="E7" s="8"/>
    </row>
    <row r="8" spans="1:5" s="7" customFormat="1">
      <c r="A8" s="9">
        <v>40391</v>
      </c>
      <c r="B8" s="8">
        <v>46</v>
      </c>
      <c r="C8" s="8">
        <v>0.2</v>
      </c>
      <c r="D8" s="8"/>
      <c r="E8" s="8"/>
    </row>
    <row r="9" spans="1:5" s="4" customFormat="1">
      <c r="A9" s="9">
        <v>40422</v>
      </c>
      <c r="B9" s="8">
        <v>94</v>
      </c>
      <c r="C9" s="8">
        <v>0</v>
      </c>
      <c r="D9" s="8"/>
      <c r="E9" s="8"/>
    </row>
    <row r="10" spans="1:5">
      <c r="A10" s="9">
        <v>40452</v>
      </c>
      <c r="B10" s="8">
        <v>388</v>
      </c>
      <c r="C10" s="8">
        <v>5</v>
      </c>
      <c r="D10" s="8"/>
      <c r="E10" s="8"/>
    </row>
    <row r="11" spans="1:5">
      <c r="A11" s="9">
        <v>40483</v>
      </c>
      <c r="B11" s="8">
        <v>668</v>
      </c>
      <c r="C11" s="8">
        <v>7.0000000000000007E-2</v>
      </c>
      <c r="D11" s="8"/>
      <c r="E11" s="8"/>
    </row>
    <row r="12" spans="1:5">
      <c r="A12" s="9">
        <v>40513</v>
      </c>
      <c r="B12" s="8">
        <v>1094</v>
      </c>
      <c r="C12" s="8">
        <v>0.2</v>
      </c>
      <c r="D12" s="8"/>
      <c r="E12" s="8"/>
    </row>
    <row r="13" spans="1:5">
      <c r="A13" s="9">
        <v>40544</v>
      </c>
      <c r="B13" s="8">
        <v>1277</v>
      </c>
      <c r="C13" s="8">
        <v>0.06</v>
      </c>
      <c r="D13" s="8"/>
      <c r="E13" s="8"/>
    </row>
    <row r="14" spans="1:5">
      <c r="A14" s="9">
        <v>40575</v>
      </c>
      <c r="B14" s="8">
        <v>1058</v>
      </c>
      <c r="C14" s="8">
        <v>0</v>
      </c>
      <c r="D14" s="8"/>
      <c r="E14" s="8"/>
    </row>
    <row r="15" spans="1:5">
      <c r="A15" s="9">
        <v>40603</v>
      </c>
      <c r="B15" s="8">
        <v>909</v>
      </c>
      <c r="C15" s="8">
        <v>0</v>
      </c>
      <c r="D15" s="8"/>
      <c r="E15" s="8"/>
    </row>
    <row r="16" spans="1:5">
      <c r="A16" s="9">
        <v>40634</v>
      </c>
      <c r="B16" s="8">
        <v>538</v>
      </c>
      <c r="C16" s="8">
        <v>0.03</v>
      </c>
      <c r="D16" s="8"/>
      <c r="E16" s="8"/>
    </row>
    <row r="17" spans="1:5">
      <c r="A17" s="9">
        <v>40664</v>
      </c>
      <c r="B17" s="8">
        <v>313</v>
      </c>
      <c r="C17" s="8">
        <v>0</v>
      </c>
      <c r="D17" s="8"/>
      <c r="E17" s="8"/>
    </row>
    <row r="18" spans="1:5">
      <c r="A18" s="9">
        <v>40695</v>
      </c>
      <c r="B18" s="8">
        <v>119</v>
      </c>
      <c r="C18" s="8">
        <v>0</v>
      </c>
      <c r="D18" s="8"/>
      <c r="E18" s="8"/>
    </row>
    <row r="19" spans="1:5">
      <c r="A19" s="9">
        <v>40725</v>
      </c>
      <c r="B19" s="8">
        <v>11</v>
      </c>
      <c r="C19" s="8">
        <v>0</v>
      </c>
      <c r="D19" s="8"/>
      <c r="E19" s="8"/>
    </row>
    <row r="20" spans="1:5">
      <c r="A20" s="9">
        <v>40756</v>
      </c>
      <c r="B20" s="8">
        <v>25</v>
      </c>
      <c r="C20" s="8">
        <v>0.2</v>
      </c>
      <c r="D20" s="8"/>
      <c r="E20" s="8"/>
    </row>
    <row r="21" spans="1:5">
      <c r="A21" s="9">
        <v>40787</v>
      </c>
      <c r="B21" s="8">
        <v>100</v>
      </c>
      <c r="C21" s="8">
        <v>0</v>
      </c>
      <c r="D21" s="8"/>
      <c r="E21" s="8"/>
    </row>
    <row r="22" spans="1:5">
      <c r="A22" s="9">
        <v>40817</v>
      </c>
      <c r="B22" s="8">
        <v>376</v>
      </c>
      <c r="C22" s="8">
        <v>0</v>
      </c>
      <c r="D22" s="8"/>
      <c r="E22" s="8"/>
    </row>
    <row r="23" spans="1:5">
      <c r="A23" s="9">
        <v>40848</v>
      </c>
      <c r="B23" s="8">
        <v>532</v>
      </c>
      <c r="C23" s="8">
        <v>0</v>
      </c>
      <c r="D23" s="8"/>
      <c r="E23" s="8"/>
    </row>
    <row r="24" spans="1:5">
      <c r="A24" s="9">
        <v>40878</v>
      </c>
      <c r="B24" s="8">
        <v>846</v>
      </c>
      <c r="C24" s="8">
        <v>0</v>
      </c>
      <c r="D24" s="8"/>
      <c r="E24" s="8"/>
    </row>
    <row r="25" spans="1:5">
      <c r="A25" s="9">
        <v>40909</v>
      </c>
      <c r="B25" s="8">
        <v>1016</v>
      </c>
      <c r="C25" s="8">
        <v>0</v>
      </c>
      <c r="D25" s="8"/>
      <c r="E25" s="8"/>
    </row>
    <row r="26" spans="1:5">
      <c r="A26" s="9">
        <v>40940</v>
      </c>
      <c r="B26" s="8">
        <v>878</v>
      </c>
      <c r="C26" s="8">
        <v>0.03</v>
      </c>
      <c r="D26" s="8"/>
      <c r="E26" s="8"/>
    </row>
    <row r="27" spans="1:5">
      <c r="A27" s="9">
        <v>40969</v>
      </c>
      <c r="B27" s="8">
        <v>650</v>
      </c>
      <c r="C27" s="8">
        <v>0</v>
      </c>
      <c r="D27" s="8"/>
      <c r="E27" s="8"/>
    </row>
    <row r="28" spans="1:5">
      <c r="A28" s="9">
        <v>41000</v>
      </c>
      <c r="B28" s="8">
        <v>452</v>
      </c>
      <c r="C28" s="8">
        <v>0.03</v>
      </c>
      <c r="D28" s="8"/>
      <c r="E28" s="8"/>
    </row>
    <row r="29" spans="1:5">
      <c r="A29" s="9">
        <v>41030</v>
      </c>
      <c r="B29" s="8">
        <v>249</v>
      </c>
      <c r="C29" s="8">
        <v>0.03</v>
      </c>
      <c r="D29" s="8"/>
      <c r="E29" s="8"/>
    </row>
    <row r="30" spans="1:5">
      <c r="A30" s="9">
        <v>41061</v>
      </c>
      <c r="B30" s="8">
        <v>128</v>
      </c>
      <c r="C30" s="8">
        <v>0.03</v>
      </c>
      <c r="D30" s="8"/>
      <c r="E30" s="8"/>
    </row>
    <row r="31" spans="1:5">
      <c r="A31" s="9">
        <v>41091</v>
      </c>
      <c r="B31" s="8">
        <v>14</v>
      </c>
      <c r="C31" s="8">
        <v>1</v>
      </c>
      <c r="D31" s="8"/>
      <c r="E31" s="8"/>
    </row>
    <row r="32" spans="1:5">
      <c r="A32" s="9">
        <v>41122</v>
      </c>
      <c r="B32" s="8">
        <v>16</v>
      </c>
      <c r="C32" s="8">
        <v>0</v>
      </c>
      <c r="D32" s="8"/>
      <c r="E32" s="8"/>
    </row>
    <row r="33" spans="1:5">
      <c r="A33" s="8"/>
      <c r="B33" s="8"/>
      <c r="C33" s="8"/>
      <c r="D33" s="8"/>
      <c r="E33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D34" sqref="D34"/>
    </sheetView>
  </sheetViews>
  <sheetFormatPr defaultRowHeight="15"/>
  <cols>
    <col min="1" max="1" width="13.140625" bestFit="1" customWidth="1"/>
  </cols>
  <sheetData>
    <row r="1" spans="1:4">
      <c r="A1" s="8" t="s">
        <v>7</v>
      </c>
      <c r="B1" s="8" t="s">
        <v>17</v>
      </c>
      <c r="C1" s="8"/>
      <c r="D1" s="8"/>
    </row>
    <row r="2" spans="1:4">
      <c r="A2" s="8" t="s">
        <v>9</v>
      </c>
      <c r="B2" s="8" t="s">
        <v>10</v>
      </c>
      <c r="C2" s="8"/>
      <c r="D2" s="8"/>
    </row>
    <row r="3" spans="1:4">
      <c r="A3" s="8" t="s">
        <v>11</v>
      </c>
      <c r="B3" s="8" t="s">
        <v>12</v>
      </c>
      <c r="C3" s="8"/>
      <c r="D3" s="8"/>
    </row>
    <row r="4" spans="1:4">
      <c r="A4" s="8" t="s">
        <v>13</v>
      </c>
      <c r="B4" s="8" t="s">
        <v>39</v>
      </c>
      <c r="C4" s="8"/>
      <c r="D4" s="8"/>
    </row>
    <row r="5" spans="1:4">
      <c r="A5" s="8" t="s">
        <v>14</v>
      </c>
      <c r="B5" s="8" t="s">
        <v>40</v>
      </c>
      <c r="C5" s="8"/>
      <c r="D5" s="8"/>
    </row>
    <row r="6" spans="1:4">
      <c r="A6" s="8"/>
      <c r="B6" s="8"/>
      <c r="C6" s="8"/>
      <c r="D6" s="8"/>
    </row>
    <row r="7" spans="1:4">
      <c r="A7" s="8" t="s">
        <v>15</v>
      </c>
      <c r="B7" s="8" t="s">
        <v>6</v>
      </c>
      <c r="C7" s="8" t="s">
        <v>16</v>
      </c>
      <c r="D7" s="8"/>
    </row>
    <row r="8" spans="1:4" s="6" customFormat="1">
      <c r="A8" s="9">
        <v>40391</v>
      </c>
      <c r="B8" s="8">
        <v>226</v>
      </c>
      <c r="C8" s="8">
        <v>0.2</v>
      </c>
      <c r="D8" s="8"/>
    </row>
    <row r="9" spans="1:4" s="5" customFormat="1">
      <c r="A9" s="9">
        <v>40422</v>
      </c>
      <c r="B9" s="8">
        <v>133</v>
      </c>
      <c r="C9" s="8">
        <v>0</v>
      </c>
      <c r="D9" s="8"/>
    </row>
    <row r="10" spans="1:4">
      <c r="A10" s="9">
        <v>40452</v>
      </c>
      <c r="B10" s="8">
        <v>16</v>
      </c>
      <c r="C10" s="8">
        <v>5</v>
      </c>
      <c r="D10" s="8"/>
    </row>
    <row r="11" spans="1:4">
      <c r="A11" s="9">
        <v>40483</v>
      </c>
      <c r="B11" s="8">
        <v>0</v>
      </c>
      <c r="C11" s="8">
        <v>7.0000000000000007E-2</v>
      </c>
      <c r="D11" s="8"/>
    </row>
    <row r="12" spans="1:4">
      <c r="A12" s="9">
        <v>40513</v>
      </c>
      <c r="B12" s="8">
        <v>0</v>
      </c>
      <c r="C12" s="8">
        <v>0.2</v>
      </c>
      <c r="D12" s="8"/>
    </row>
    <row r="13" spans="1:4">
      <c r="A13" s="9">
        <v>40544</v>
      </c>
      <c r="B13" s="8">
        <v>0</v>
      </c>
      <c r="C13" s="8">
        <v>0.06</v>
      </c>
      <c r="D13" s="8"/>
    </row>
    <row r="14" spans="1:4">
      <c r="A14" s="9">
        <v>40575</v>
      </c>
      <c r="B14" s="8">
        <v>0</v>
      </c>
      <c r="C14" s="8">
        <v>0</v>
      </c>
      <c r="D14" s="8"/>
    </row>
    <row r="15" spans="1:4">
      <c r="A15" s="9">
        <v>40603</v>
      </c>
      <c r="B15" s="8">
        <v>0</v>
      </c>
      <c r="C15" s="8">
        <v>0</v>
      </c>
      <c r="D15" s="8"/>
    </row>
    <row r="16" spans="1:4">
      <c r="A16" s="9">
        <v>40634</v>
      </c>
      <c r="B16" s="8">
        <v>6</v>
      </c>
      <c r="C16" s="8">
        <v>0.03</v>
      </c>
      <c r="D16" s="8"/>
    </row>
    <row r="17" spans="1:4">
      <c r="A17" s="9">
        <v>40664</v>
      </c>
      <c r="B17" s="8">
        <v>40</v>
      </c>
      <c r="C17" s="8">
        <v>0</v>
      </c>
      <c r="D17" s="8"/>
    </row>
    <row r="18" spans="1:4">
      <c r="A18" s="9">
        <v>40695</v>
      </c>
      <c r="B18" s="8">
        <v>93</v>
      </c>
      <c r="C18" s="8">
        <v>0</v>
      </c>
      <c r="D18" s="8"/>
    </row>
    <row r="19" spans="1:4">
      <c r="A19" s="9">
        <v>40725</v>
      </c>
      <c r="B19" s="8">
        <v>293</v>
      </c>
      <c r="C19" s="8">
        <v>0</v>
      </c>
      <c r="D19" s="8"/>
    </row>
    <row r="20" spans="1:4">
      <c r="A20" s="9">
        <v>40756</v>
      </c>
      <c r="B20" s="8">
        <v>193</v>
      </c>
      <c r="C20" s="8">
        <v>0.2</v>
      </c>
      <c r="D20" s="8"/>
    </row>
    <row r="21" spans="1:4">
      <c r="A21" s="9">
        <v>40787</v>
      </c>
      <c r="B21" s="8">
        <v>95</v>
      </c>
      <c r="C21" s="8">
        <v>0</v>
      </c>
      <c r="D21" s="8"/>
    </row>
    <row r="22" spans="1:4">
      <c r="A22" s="9">
        <v>40817</v>
      </c>
      <c r="B22" s="8">
        <v>16</v>
      </c>
      <c r="C22" s="8">
        <v>0</v>
      </c>
      <c r="D22" s="8"/>
    </row>
    <row r="23" spans="1:4">
      <c r="A23" s="9">
        <v>40848</v>
      </c>
      <c r="B23" s="8">
        <v>1</v>
      </c>
      <c r="C23" s="8">
        <v>0</v>
      </c>
      <c r="D23" s="8"/>
    </row>
    <row r="24" spans="1:4">
      <c r="A24" s="9">
        <v>40878</v>
      </c>
      <c r="B24" s="8">
        <v>0</v>
      </c>
      <c r="C24" s="8">
        <v>0</v>
      </c>
      <c r="D24" s="8"/>
    </row>
    <row r="25" spans="1:4">
      <c r="A25" s="9">
        <v>40909</v>
      </c>
      <c r="B25" s="8">
        <v>0</v>
      </c>
      <c r="C25" s="8">
        <v>0</v>
      </c>
      <c r="D25" s="8"/>
    </row>
    <row r="26" spans="1:4">
      <c r="A26" s="9">
        <v>40940</v>
      </c>
      <c r="B26" s="8">
        <v>0</v>
      </c>
      <c r="C26" s="8">
        <v>0.03</v>
      </c>
      <c r="D26" s="8"/>
    </row>
    <row r="27" spans="1:4">
      <c r="A27" s="9">
        <v>40969</v>
      </c>
      <c r="B27" s="8">
        <v>20</v>
      </c>
      <c r="C27" s="8">
        <v>0</v>
      </c>
      <c r="D27" s="8"/>
    </row>
    <row r="28" spans="1:4">
      <c r="A28" s="9">
        <v>41000</v>
      </c>
      <c r="B28" s="8">
        <v>23</v>
      </c>
      <c r="C28" s="8">
        <v>0.03</v>
      </c>
      <c r="D28" s="8"/>
    </row>
    <row r="29" spans="1:4">
      <c r="A29" s="9">
        <v>41030</v>
      </c>
      <c r="B29" s="8">
        <v>32</v>
      </c>
      <c r="C29" s="8">
        <v>0.03</v>
      </c>
      <c r="D29" s="8"/>
    </row>
    <row r="30" spans="1:4">
      <c r="A30" s="9">
        <v>41061</v>
      </c>
      <c r="B30" s="8">
        <v>119</v>
      </c>
      <c r="C30" s="8">
        <v>0.03</v>
      </c>
      <c r="D30" s="8"/>
    </row>
    <row r="31" spans="1:4">
      <c r="A31" s="9">
        <v>41091</v>
      </c>
      <c r="B31" s="8">
        <v>269</v>
      </c>
      <c r="C31" s="8">
        <v>1</v>
      </c>
      <c r="D31" s="8"/>
    </row>
    <row r="32" spans="1:4">
      <c r="A32" s="9">
        <v>41122</v>
      </c>
      <c r="B32" s="8">
        <v>266</v>
      </c>
      <c r="C32" s="8">
        <v>0</v>
      </c>
      <c r="D32" s="8"/>
    </row>
    <row r="33" spans="1:4">
      <c r="A33" s="8"/>
      <c r="B33" s="8"/>
      <c r="C33" s="8"/>
      <c r="D33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4"/>
  <sheetViews>
    <sheetView topLeftCell="A2" workbookViewId="0">
      <selection activeCell="S21" sqref="S21"/>
    </sheetView>
  </sheetViews>
  <sheetFormatPr defaultRowHeight="15"/>
  <cols>
    <col min="12" max="12" width="9.140625" style="8"/>
  </cols>
  <sheetData>
    <row r="1" spans="1:19">
      <c r="A1" t="s">
        <v>67</v>
      </c>
    </row>
    <row r="4" spans="1:19">
      <c r="C4" t="s">
        <v>68</v>
      </c>
      <c r="D4" t="str">
        <f>HDD!B4</f>
        <v>BEVERLY MUNICIPAL AIRPORT, MA, US (70.92W,42.58N)</v>
      </c>
      <c r="H4" s="71" t="s">
        <v>78</v>
      </c>
      <c r="I4" s="71"/>
      <c r="J4" s="71"/>
    </row>
    <row r="5" spans="1:19" ht="51.75">
      <c r="A5" t="s">
        <v>69</v>
      </c>
      <c r="B5" t="s">
        <v>70</v>
      </c>
      <c r="C5" t="s">
        <v>71</v>
      </c>
      <c r="D5" t="s">
        <v>72</v>
      </c>
      <c r="E5" t="s">
        <v>73</v>
      </c>
      <c r="F5" t="s">
        <v>74</v>
      </c>
      <c r="H5" s="57" t="s">
        <v>75</v>
      </c>
      <c r="I5" s="57" t="s">
        <v>76</v>
      </c>
      <c r="J5" s="57" t="s">
        <v>77</v>
      </c>
      <c r="K5" s="59" t="s">
        <v>81</v>
      </c>
      <c r="L5" s="59" t="s">
        <v>83</v>
      </c>
      <c r="M5" s="59" t="s">
        <v>82</v>
      </c>
    </row>
    <row r="6" spans="1:19">
      <c r="C6" s="8" t="s">
        <v>79</v>
      </c>
      <c r="P6" s="8" t="s">
        <v>93</v>
      </c>
    </row>
    <row r="7" spans="1:19">
      <c r="P7" s="8" t="s">
        <v>18</v>
      </c>
      <c r="Q7" s="8" t="s">
        <v>94</v>
      </c>
      <c r="S7" s="8" t="s">
        <v>95</v>
      </c>
    </row>
    <row r="8" spans="1:19">
      <c r="A8" s="1">
        <f>'Energy Use'!B19</f>
        <v>40735</v>
      </c>
      <c r="C8" s="13"/>
      <c r="D8">
        <f>CDD!B19</f>
        <v>293</v>
      </c>
      <c r="E8">
        <f>HDD!B19</f>
        <v>11</v>
      </c>
      <c r="I8">
        <v>118</v>
      </c>
      <c r="J8">
        <v>12</v>
      </c>
      <c r="P8" s="44"/>
      <c r="Q8" s="45"/>
      <c r="R8" s="45"/>
      <c r="S8" s="27"/>
    </row>
    <row r="9" spans="1:19">
      <c r="A9" s="1">
        <f>'Energy Use'!B20</f>
        <v>40766</v>
      </c>
      <c r="C9" s="13"/>
      <c r="D9" s="8">
        <f>CDD!B20</f>
        <v>193</v>
      </c>
      <c r="E9" s="8">
        <f>HDD!B20</f>
        <v>25</v>
      </c>
      <c r="I9">
        <v>246</v>
      </c>
      <c r="J9">
        <v>19</v>
      </c>
      <c r="K9" s="66">
        <f t="shared" ref="K9:K14" si="0">0.6914*(J9)+681.27</f>
        <v>694.40660000000003</v>
      </c>
      <c r="L9" s="13"/>
      <c r="P9" s="46"/>
      <c r="Q9" s="18"/>
      <c r="R9" s="18"/>
      <c r="S9" s="29"/>
    </row>
    <row r="10" spans="1:19">
      <c r="A10" s="1">
        <f>'Energy Use'!B21</f>
        <v>40797</v>
      </c>
      <c r="C10" s="13"/>
      <c r="D10" s="8">
        <f>CDD!B21</f>
        <v>95</v>
      </c>
      <c r="E10" s="8">
        <f>HDD!B21</f>
        <v>100</v>
      </c>
      <c r="I10">
        <v>60</v>
      </c>
      <c r="J10">
        <v>127</v>
      </c>
      <c r="K10" s="67">
        <f t="shared" si="0"/>
        <v>769.07780000000002</v>
      </c>
      <c r="L10" s="13"/>
      <c r="P10" s="46"/>
      <c r="Q10" s="18"/>
      <c r="R10" s="18"/>
      <c r="S10" s="29"/>
    </row>
    <row r="11" spans="1:19">
      <c r="A11" s="1">
        <f>'Energy Use'!B22</f>
        <v>40827</v>
      </c>
      <c r="C11" s="13"/>
      <c r="D11" s="8">
        <f>CDD!B22</f>
        <v>16</v>
      </c>
      <c r="E11" s="8">
        <f>HDD!B22</f>
        <v>376</v>
      </c>
      <c r="I11">
        <v>0</v>
      </c>
      <c r="J11">
        <v>500</v>
      </c>
      <c r="K11" s="67">
        <f t="shared" si="0"/>
        <v>1026.97</v>
      </c>
      <c r="L11" s="13"/>
      <c r="P11" s="46"/>
      <c r="Q11" s="18"/>
      <c r="R11" s="18"/>
      <c r="S11" s="29"/>
    </row>
    <row r="12" spans="1:19">
      <c r="A12" s="1">
        <f>'Energy Use'!B23</f>
        <v>40858</v>
      </c>
      <c r="C12" s="13"/>
      <c r="D12" s="8">
        <f>CDD!B23</f>
        <v>1</v>
      </c>
      <c r="E12" s="8">
        <f>HDD!B23</f>
        <v>532</v>
      </c>
      <c r="I12">
        <v>0</v>
      </c>
      <c r="J12">
        <v>587</v>
      </c>
      <c r="K12" s="67">
        <f t="shared" si="0"/>
        <v>1087.1217999999999</v>
      </c>
      <c r="L12" s="13"/>
      <c r="P12" s="46"/>
      <c r="Q12" s="18"/>
      <c r="R12" s="18"/>
      <c r="S12" s="29"/>
    </row>
    <row r="13" spans="1:19">
      <c r="A13" s="1">
        <f>'Energy Use'!B24</f>
        <v>40888</v>
      </c>
      <c r="C13" s="13"/>
      <c r="D13" s="8">
        <f>CDD!B24</f>
        <v>0</v>
      </c>
      <c r="E13" s="8">
        <f>HDD!B24</f>
        <v>846</v>
      </c>
      <c r="I13">
        <v>0</v>
      </c>
      <c r="J13">
        <v>1005</v>
      </c>
      <c r="K13" s="67">
        <f t="shared" si="0"/>
        <v>1376.127</v>
      </c>
      <c r="L13" s="13"/>
      <c r="P13" s="46"/>
      <c r="Q13" s="18"/>
      <c r="R13" s="18"/>
      <c r="S13" s="29"/>
    </row>
    <row r="14" spans="1:19">
      <c r="A14" s="1">
        <f>'Energy Use'!B25</f>
        <v>40920</v>
      </c>
      <c r="C14" s="13"/>
      <c r="D14" s="8">
        <f>CDD!B25</f>
        <v>0</v>
      </c>
      <c r="E14" s="8">
        <f>HDD!B25</f>
        <v>1016</v>
      </c>
      <c r="I14">
        <v>0</v>
      </c>
      <c r="J14">
        <v>1460</v>
      </c>
      <c r="K14" s="68">
        <f t="shared" si="0"/>
        <v>1690.7139999999999</v>
      </c>
      <c r="L14" s="13"/>
      <c r="P14" s="38">
        <f>SUM(K9:K14)</f>
        <v>6644.4171999999999</v>
      </c>
      <c r="Q14" s="39">
        <f>P14*'Energy Use'!$E$3</f>
        <v>22.677395903599997</v>
      </c>
      <c r="R14" s="18"/>
      <c r="S14" s="40">
        <f>Q14*'Energy Use'!$E$4</f>
        <v>75.74250231802398</v>
      </c>
    </row>
    <row r="15" spans="1:19">
      <c r="A15" s="1">
        <f>'Energy Use'!B26</f>
        <v>40940</v>
      </c>
      <c r="C15" s="13">
        <f>'Energy Use'!W26</f>
        <v>1380</v>
      </c>
      <c r="D15" s="8">
        <f>CDD!B26</f>
        <v>0</v>
      </c>
      <c r="E15" s="8">
        <f>HDD!B26</f>
        <v>878</v>
      </c>
      <c r="I15">
        <v>0</v>
      </c>
      <c r="J15">
        <v>1144</v>
      </c>
      <c r="K15" s="13">
        <f t="shared" ref="K15:K20" si="1">0.6914*(J15)+681.27</f>
        <v>1472.2316000000001</v>
      </c>
      <c r="L15" s="13">
        <f>K15*'Energy Use'!$E$3</f>
        <v>5.0247264508000002</v>
      </c>
      <c r="M15" s="13">
        <f>K15*'Energy Use'!$E$4</f>
        <v>4917.2535440000001</v>
      </c>
      <c r="N15" s="13">
        <f>M15*'Energy Use'!$E$3</f>
        <v>16.782586345671998</v>
      </c>
      <c r="P15" s="46"/>
      <c r="Q15" s="18"/>
      <c r="R15" s="18"/>
      <c r="S15" s="29"/>
    </row>
    <row r="16" spans="1:19">
      <c r="A16" s="1">
        <f>'Energy Use'!B27</f>
        <v>40969</v>
      </c>
      <c r="C16" s="13">
        <f>'Energy Use'!W27</f>
        <v>1181</v>
      </c>
      <c r="D16" s="8">
        <f>CDD!B27</f>
        <v>20</v>
      </c>
      <c r="E16" s="8">
        <f>HDD!B27</f>
        <v>650</v>
      </c>
      <c r="I16">
        <v>0</v>
      </c>
      <c r="J16">
        <v>745</v>
      </c>
      <c r="K16" s="13">
        <f t="shared" si="1"/>
        <v>1196.3629999999998</v>
      </c>
      <c r="L16" s="13">
        <f>K16*'Energy Use'!$E$3</f>
        <v>4.0831869189999992</v>
      </c>
      <c r="M16" s="13">
        <f>K16*'Energy Use'!$E$4</f>
        <v>3995.8524199999993</v>
      </c>
      <c r="N16" s="13">
        <f>M16*'Energy Use'!$E$3</f>
        <v>13.637844309459997</v>
      </c>
      <c r="P16" s="46"/>
      <c r="Q16" s="18"/>
      <c r="R16" s="18"/>
      <c r="S16" s="29"/>
    </row>
    <row r="17" spans="1:19">
      <c r="A17" s="1">
        <f>'Energy Use'!B28</f>
        <v>41000</v>
      </c>
      <c r="C17" s="13">
        <f>'Energy Use'!W28</f>
        <v>819</v>
      </c>
      <c r="D17" s="8">
        <f>CDD!B28</f>
        <v>23</v>
      </c>
      <c r="E17" s="8">
        <f>HDD!B28</f>
        <v>452</v>
      </c>
      <c r="I17">
        <v>0</v>
      </c>
      <c r="J17">
        <v>571</v>
      </c>
      <c r="K17" s="13">
        <f t="shared" si="1"/>
        <v>1076.0594000000001</v>
      </c>
      <c r="L17" s="13">
        <f>K17*'Energy Use'!$E$3</f>
        <v>3.6725907322000002</v>
      </c>
      <c r="M17" s="13">
        <f>K17*'Energy Use'!$E$4</f>
        <v>3594.0383960000004</v>
      </c>
      <c r="N17" s="13">
        <f>M17*'Energy Use'!$E$3</f>
        <v>12.266453045548001</v>
      </c>
      <c r="P17" s="46"/>
      <c r="Q17" s="18"/>
      <c r="R17" s="18"/>
      <c r="S17" s="29"/>
    </row>
    <row r="18" spans="1:19">
      <c r="A18" s="1">
        <f>'Energy Use'!B29</f>
        <v>41030</v>
      </c>
      <c r="C18" s="13">
        <f>'Energy Use'!W29</f>
        <v>723</v>
      </c>
      <c r="D18" s="8">
        <f>CDD!B29</f>
        <v>32</v>
      </c>
      <c r="E18" s="8">
        <f>HDD!B29</f>
        <v>249</v>
      </c>
      <c r="I18">
        <v>10</v>
      </c>
      <c r="J18">
        <v>311</v>
      </c>
      <c r="K18" s="13">
        <f t="shared" si="1"/>
        <v>896.29539999999997</v>
      </c>
      <c r="L18" s="13">
        <f>K18*'Energy Use'!$E$3</f>
        <v>3.0590562001999997</v>
      </c>
      <c r="M18" s="13">
        <f>K18*'Energy Use'!$E$4</f>
        <v>2993.626636</v>
      </c>
      <c r="N18" s="13">
        <f>M18*'Energy Use'!$E$3</f>
        <v>10.217247708667999</v>
      </c>
      <c r="P18" s="46"/>
      <c r="Q18" s="18"/>
      <c r="R18" s="18"/>
      <c r="S18" s="29"/>
    </row>
    <row r="19" spans="1:19">
      <c r="A19" s="1">
        <f>'Energy Use'!B30</f>
        <v>41061</v>
      </c>
      <c r="C19" s="13">
        <f>'Energy Use'!W30</f>
        <v>735</v>
      </c>
      <c r="D19" s="8">
        <f>CDD!B30</f>
        <v>119</v>
      </c>
      <c r="E19" s="8">
        <f>HDD!B30</f>
        <v>128</v>
      </c>
      <c r="I19">
        <v>44</v>
      </c>
      <c r="J19">
        <v>84</v>
      </c>
      <c r="K19" s="13">
        <f t="shared" si="1"/>
        <v>739.34759999999994</v>
      </c>
      <c r="L19" s="13">
        <f>K19*'Energy Use'!$E$3</f>
        <v>2.5233933587999995</v>
      </c>
      <c r="M19" s="13">
        <f>K19*'Energy Use'!$E$4</f>
        <v>2469.4209839999999</v>
      </c>
      <c r="N19" s="13">
        <f>M19*'Energy Use'!$E$3</f>
        <v>8.4281338183919985</v>
      </c>
      <c r="P19" s="46"/>
      <c r="Q19" s="18"/>
      <c r="R19" s="18"/>
      <c r="S19" s="29"/>
    </row>
    <row r="20" spans="1:19">
      <c r="A20" s="1">
        <f>'Energy Use'!B31</f>
        <v>41101</v>
      </c>
      <c r="C20" s="13">
        <f>'Energy Use'!W31</f>
        <v>889</v>
      </c>
      <c r="D20" s="8">
        <f>CDD!B31</f>
        <v>269</v>
      </c>
      <c r="E20" s="8">
        <f>HDD!B31</f>
        <v>14</v>
      </c>
      <c r="I20" s="48">
        <v>118</v>
      </c>
      <c r="J20" s="48">
        <v>12</v>
      </c>
      <c r="K20" s="42">
        <f t="shared" si="1"/>
        <v>689.56679999999994</v>
      </c>
      <c r="L20" s="42">
        <f>K20*'Energy Use'!$E$3</f>
        <v>2.3534914883999996</v>
      </c>
      <c r="M20" s="42">
        <f>K20*'Energy Use'!$E$4</f>
        <v>2303.1531119999995</v>
      </c>
      <c r="N20" s="42">
        <f>M20*'Energy Use'!$E$3</f>
        <v>7.8606615712559975</v>
      </c>
      <c r="P20" s="46"/>
      <c r="Q20" s="18"/>
      <c r="R20" s="18"/>
      <c r="S20" s="29"/>
    </row>
    <row r="21" spans="1:19">
      <c r="K21" s="13">
        <f>SUM(K15:K20)</f>
        <v>6069.8637999999992</v>
      </c>
      <c r="L21" s="13">
        <f>SUM(L15:L20)</f>
        <v>20.716445149399998</v>
      </c>
      <c r="M21" s="13">
        <f>SUM(M15:M20)</f>
        <v>20273.345092</v>
      </c>
      <c r="N21" s="13">
        <f>SUM(N15:N20)</f>
        <v>69.192926798995998</v>
      </c>
      <c r="P21" s="53"/>
      <c r="Q21" s="54"/>
      <c r="R21" s="55"/>
      <c r="S21" s="56"/>
    </row>
    <row r="22" spans="1:19">
      <c r="K22" s="13">
        <f>SUM(C15:C20)</f>
        <v>5727</v>
      </c>
      <c r="L22" s="13"/>
    </row>
    <row r="24" spans="1:19">
      <c r="K24" s="58">
        <f>(K22-K21)/K22</f>
        <v>-5.9867958791688346E-2</v>
      </c>
      <c r="L24" s="58"/>
    </row>
  </sheetData>
  <mergeCells count="1">
    <mergeCell ref="H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Pre-Retrofit</vt:lpstr>
      <vt:lpstr>Gas</vt:lpstr>
      <vt:lpstr>Elec</vt:lpstr>
      <vt:lpstr>Energy Use</vt:lpstr>
      <vt:lpstr>HDD</vt:lpstr>
      <vt:lpstr>CDD</vt:lpstr>
      <vt:lpstr>Weather Lin Regr Analysis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</dc:creator>
  <cp:lastModifiedBy>Cathy</cp:lastModifiedBy>
  <dcterms:created xsi:type="dcterms:W3CDTF">2011-09-05T16:23:18Z</dcterms:created>
  <dcterms:modified xsi:type="dcterms:W3CDTF">2013-03-01T22:09:54Z</dcterms:modified>
</cp:coreProperties>
</file>