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75" windowWidth="27285" windowHeight="15795" activeTab="3"/>
  </bookViews>
  <sheets>
    <sheet name="Pre-Retrofit" sheetId="9" r:id="rId1"/>
    <sheet name="Gas" sheetId="1" r:id="rId2"/>
    <sheet name="Elec" sheetId="2" r:id="rId3"/>
    <sheet name="Energy Use" sheetId="8" r:id="rId4"/>
    <sheet name="HDD" sheetId="5" r:id="rId5"/>
    <sheet name="CDD" sheetId="4" r:id="rId6"/>
    <sheet name="Weather Lin Regr Analysis" sheetId="3" r:id="rId7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2" i="8"/>
  <c r="R32"/>
  <c r="E33"/>
  <c r="D33"/>
  <c r="M14" i="3" l="1"/>
  <c r="M13"/>
  <c r="M12"/>
  <c r="M11"/>
  <c r="M10"/>
  <c r="M9"/>
  <c r="O57" i="9"/>
  <c r="E57"/>
  <c r="M25" i="3"/>
  <c r="I81" i="9"/>
  <c r="G81"/>
  <c r="F81"/>
  <c r="C32" i="1"/>
  <c r="G34" i="2"/>
  <c r="F34"/>
  <c r="D32" i="1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7"/>
  <c r="D8"/>
  <c r="D9"/>
  <c r="D10"/>
  <c r="D11"/>
  <c r="D6"/>
  <c r="D34" i="2"/>
  <c r="U31" i="8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M20" i="3"/>
  <c r="M19"/>
  <c r="M18"/>
  <c r="M17"/>
  <c r="M16"/>
  <c r="M15"/>
  <c r="C31" i="8"/>
  <c r="E2"/>
  <c r="D31"/>
  <c r="E20" i="3" s="1"/>
  <c r="C30" i="8"/>
  <c r="D30" s="1"/>
  <c r="C29"/>
  <c r="D29"/>
  <c r="E18" i="3" s="1"/>
  <c r="C28" i="8"/>
  <c r="D28" s="1"/>
  <c r="C27"/>
  <c r="D27"/>
  <c r="E16" i="3" s="1"/>
  <c r="C26" i="8"/>
  <c r="D26" s="1"/>
  <c r="D27" i="2"/>
  <c r="K26" i="8"/>
  <c r="L26"/>
  <c r="M26"/>
  <c r="E3"/>
  <c r="R26"/>
  <c r="D15" i="3" s="1"/>
  <c r="D28" i="2"/>
  <c r="K27" i="8"/>
  <c r="L27"/>
  <c r="M27" s="1"/>
  <c r="D29" i="2"/>
  <c r="K28" i="8"/>
  <c r="L28"/>
  <c r="M28" s="1"/>
  <c r="D30" i="2"/>
  <c r="K29" i="8"/>
  <c r="L29"/>
  <c r="M29" s="1"/>
  <c r="D31" i="2"/>
  <c r="K30" i="8"/>
  <c r="L30"/>
  <c r="M30" s="1"/>
  <c r="D32" i="2"/>
  <c r="K31" i="8"/>
  <c r="L31"/>
  <c r="M31" s="1"/>
  <c r="J40" i="9"/>
  <c r="E34"/>
  <c r="N40"/>
  <c r="F68"/>
  <c r="G68"/>
  <c r="I68"/>
  <c r="J41"/>
  <c r="N41"/>
  <c r="F69"/>
  <c r="G69"/>
  <c r="I69"/>
  <c r="N80" s="1"/>
  <c r="J42"/>
  <c r="N42"/>
  <c r="F70"/>
  <c r="G70"/>
  <c r="I70"/>
  <c r="J43"/>
  <c r="N43"/>
  <c r="F71"/>
  <c r="G71"/>
  <c r="I71"/>
  <c r="J44"/>
  <c r="N44"/>
  <c r="F72"/>
  <c r="G72"/>
  <c r="I72"/>
  <c r="J45"/>
  <c r="N45"/>
  <c r="F73"/>
  <c r="G73"/>
  <c r="I73"/>
  <c r="J46"/>
  <c r="N46"/>
  <c r="F74"/>
  <c r="G74"/>
  <c r="I74"/>
  <c r="J47"/>
  <c r="N47"/>
  <c r="F75"/>
  <c r="G75"/>
  <c r="I75"/>
  <c r="J48"/>
  <c r="N48"/>
  <c r="F76"/>
  <c r="G76"/>
  <c r="I76"/>
  <c r="J49"/>
  <c r="N49"/>
  <c r="F77"/>
  <c r="G77"/>
  <c r="I77"/>
  <c r="J50"/>
  <c r="N50"/>
  <c r="F78"/>
  <c r="G78"/>
  <c r="I78"/>
  <c r="J51"/>
  <c r="N51"/>
  <c r="F79"/>
  <c r="G79"/>
  <c r="I79"/>
  <c r="I80"/>
  <c r="H79"/>
  <c r="H78"/>
  <c r="H77"/>
  <c r="H76"/>
  <c r="H75"/>
  <c r="H74"/>
  <c r="H73"/>
  <c r="H72"/>
  <c r="H71"/>
  <c r="H70"/>
  <c r="H69"/>
  <c r="H68"/>
  <c r="P55"/>
  <c r="P54"/>
  <c r="P53"/>
  <c r="P52"/>
  <c r="P51"/>
  <c r="P50"/>
  <c r="P49"/>
  <c r="P48"/>
  <c r="P47"/>
  <c r="P46"/>
  <c r="P45"/>
  <c r="P44"/>
  <c r="P43"/>
  <c r="P42"/>
  <c r="P41"/>
  <c r="P40"/>
  <c r="G20" i="3"/>
  <c r="G19"/>
  <c r="G18"/>
  <c r="G17"/>
  <c r="G16"/>
  <c r="G15"/>
  <c r="G14"/>
  <c r="G13"/>
  <c r="G12"/>
  <c r="G11"/>
  <c r="G10"/>
  <c r="G9"/>
  <c r="G8"/>
  <c r="F20"/>
  <c r="F19"/>
  <c r="F18"/>
  <c r="F17"/>
  <c r="F16"/>
  <c r="F15"/>
  <c r="F14"/>
  <c r="F13"/>
  <c r="F12"/>
  <c r="F11"/>
  <c r="F10"/>
  <c r="F9"/>
  <c r="F8"/>
  <c r="A20"/>
  <c r="A19"/>
  <c r="A18"/>
  <c r="A17"/>
  <c r="A16"/>
  <c r="A15"/>
  <c r="A14"/>
  <c r="A13"/>
  <c r="A12"/>
  <c r="A11"/>
  <c r="A10"/>
  <c r="A9"/>
  <c r="A8"/>
  <c r="F4"/>
  <c r="C38" i="8"/>
  <c r="J57" i="9"/>
  <c r="C40"/>
  <c r="C41"/>
  <c r="C42"/>
  <c r="C43"/>
  <c r="C44"/>
  <c r="C45"/>
  <c r="C46"/>
  <c r="C47"/>
  <c r="C48"/>
  <c r="C49"/>
  <c r="C50"/>
  <c r="C51"/>
  <c r="C57"/>
  <c r="C36" i="8"/>
  <c r="D36"/>
  <c r="E36" s="1"/>
  <c r="E1"/>
  <c r="E31"/>
  <c r="G31"/>
  <c r="H31"/>
  <c r="E33" i="9"/>
  <c r="D44"/>
  <c r="E44"/>
  <c r="L44"/>
  <c r="O44"/>
  <c r="W44"/>
  <c r="D45"/>
  <c r="E45"/>
  <c r="L45"/>
  <c r="O45"/>
  <c r="W45"/>
  <c r="D46"/>
  <c r="E46"/>
  <c r="L46"/>
  <c r="O46"/>
  <c r="W46"/>
  <c r="D47"/>
  <c r="E47"/>
  <c r="L47"/>
  <c r="O47"/>
  <c r="W47"/>
  <c r="D48"/>
  <c r="E48"/>
  <c r="L48"/>
  <c r="O48"/>
  <c r="W48"/>
  <c r="D49"/>
  <c r="E49"/>
  <c r="L49"/>
  <c r="O49"/>
  <c r="W49"/>
  <c r="D50"/>
  <c r="E50"/>
  <c r="L50"/>
  <c r="O50"/>
  <c r="W50"/>
  <c r="D51"/>
  <c r="E51"/>
  <c r="L51"/>
  <c r="O51"/>
  <c r="W51"/>
  <c r="C52"/>
  <c r="D52"/>
  <c r="E52"/>
  <c r="J52"/>
  <c r="L52"/>
  <c r="O52"/>
  <c r="W52"/>
  <c r="C53"/>
  <c r="D53"/>
  <c r="E53"/>
  <c r="J53"/>
  <c r="L53"/>
  <c r="O53"/>
  <c r="W53"/>
  <c r="C54"/>
  <c r="D54"/>
  <c r="E54"/>
  <c r="J54"/>
  <c r="L54"/>
  <c r="O54"/>
  <c r="W54"/>
  <c r="C55"/>
  <c r="D55"/>
  <c r="E55"/>
  <c r="J55"/>
  <c r="L55"/>
  <c r="O55"/>
  <c r="W55"/>
  <c r="W60"/>
  <c r="V44"/>
  <c r="V45"/>
  <c r="V46"/>
  <c r="V47"/>
  <c r="V48"/>
  <c r="V49"/>
  <c r="V50"/>
  <c r="V51"/>
  <c r="N52"/>
  <c r="V52"/>
  <c r="N53"/>
  <c r="V53"/>
  <c r="N54"/>
  <c r="V54"/>
  <c r="N55"/>
  <c r="V55"/>
  <c r="V60"/>
  <c r="E32"/>
  <c r="H44"/>
  <c r="T44"/>
  <c r="H45"/>
  <c r="T45"/>
  <c r="H46"/>
  <c r="T46"/>
  <c r="H47"/>
  <c r="T47"/>
  <c r="H48"/>
  <c r="T48"/>
  <c r="H49"/>
  <c r="T49"/>
  <c r="H50"/>
  <c r="T50"/>
  <c r="H51"/>
  <c r="T51"/>
  <c r="H52"/>
  <c r="T52"/>
  <c r="H53"/>
  <c r="T53"/>
  <c r="H54"/>
  <c r="T54"/>
  <c r="H55"/>
  <c r="T55"/>
  <c r="T60"/>
  <c r="G44"/>
  <c r="S44"/>
  <c r="G45"/>
  <c r="S45"/>
  <c r="G46"/>
  <c r="S46"/>
  <c r="G47"/>
  <c r="S47"/>
  <c r="G48"/>
  <c r="S48"/>
  <c r="G49"/>
  <c r="S49"/>
  <c r="G50"/>
  <c r="S50"/>
  <c r="G51"/>
  <c r="S51"/>
  <c r="G52"/>
  <c r="S52"/>
  <c r="G53"/>
  <c r="S53"/>
  <c r="G54"/>
  <c r="S54"/>
  <c r="G55"/>
  <c r="S55"/>
  <c r="S60"/>
  <c r="D40"/>
  <c r="E40"/>
  <c r="L40"/>
  <c r="O40"/>
  <c r="W40"/>
  <c r="D41"/>
  <c r="E41"/>
  <c r="L41"/>
  <c r="O41"/>
  <c r="W41"/>
  <c r="D42"/>
  <c r="E42"/>
  <c r="L42"/>
  <c r="O42"/>
  <c r="W42"/>
  <c r="D43"/>
  <c r="E43"/>
  <c r="L43"/>
  <c r="O43"/>
  <c r="W43"/>
  <c r="W59"/>
  <c r="V40"/>
  <c r="V41"/>
  <c r="V42"/>
  <c r="V43"/>
  <c r="V59"/>
  <c r="H40"/>
  <c r="T40"/>
  <c r="H41"/>
  <c r="T41"/>
  <c r="H42"/>
  <c r="T42"/>
  <c r="H43"/>
  <c r="T43"/>
  <c r="T59"/>
  <c r="G40"/>
  <c r="S40"/>
  <c r="G41"/>
  <c r="S41"/>
  <c r="G42"/>
  <c r="S42"/>
  <c r="G43"/>
  <c r="S43"/>
  <c r="S59"/>
  <c r="D33" i="2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K23" i="9"/>
  <c r="K27"/>
  <c r="C27"/>
  <c r="C23"/>
  <c r="G33" i="2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0"/>
  <c r="G9"/>
  <c r="G11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0"/>
  <c r="F9"/>
  <c r="F11"/>
  <c r="C32" i="8"/>
  <c r="C25"/>
  <c r="C24"/>
  <c r="C23"/>
  <c r="C22"/>
  <c r="C21"/>
  <c r="C20"/>
  <c r="C19"/>
  <c r="C18"/>
  <c r="C17"/>
  <c r="C16"/>
  <c r="C15"/>
  <c r="C14"/>
  <c r="C13"/>
  <c r="C12"/>
  <c r="C11"/>
  <c r="C10"/>
  <c r="B28" i="9"/>
  <c r="K12" i="8"/>
  <c r="K10"/>
  <c r="L8"/>
  <c r="K8"/>
  <c r="N12"/>
  <c r="N11"/>
  <c r="N10"/>
  <c r="L12"/>
  <c r="L11"/>
  <c r="L10"/>
  <c r="D10"/>
  <c r="G10"/>
  <c r="D12"/>
  <c r="G12"/>
  <c r="D11"/>
  <c r="G11"/>
  <c r="K11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L25"/>
  <c r="L24"/>
  <c r="L23"/>
  <c r="L22"/>
  <c r="L21"/>
  <c r="L20"/>
  <c r="L19"/>
  <c r="L18"/>
  <c r="L17"/>
  <c r="L16"/>
  <c r="L15"/>
  <c r="L14"/>
  <c r="L13"/>
  <c r="K25"/>
  <c r="K24"/>
  <c r="K23"/>
  <c r="K22"/>
  <c r="K21"/>
  <c r="K20"/>
  <c r="K19"/>
  <c r="D25"/>
  <c r="D24"/>
  <c r="D23"/>
  <c r="D22"/>
  <c r="D21"/>
  <c r="D20"/>
  <c r="D19"/>
  <c r="K14"/>
  <c r="K15"/>
  <c r="K16"/>
  <c r="K17"/>
  <c r="K18"/>
  <c r="K13"/>
  <c r="D13"/>
  <c r="D14"/>
  <c r="D15"/>
  <c r="D16"/>
  <c r="D17"/>
  <c r="D18"/>
  <c r="M13"/>
  <c r="P13" s="1"/>
  <c r="M15"/>
  <c r="P15" s="1"/>
  <c r="X15" s="1"/>
  <c r="M17"/>
  <c r="P17" s="1"/>
  <c r="X17" s="1"/>
  <c r="M21"/>
  <c r="P21" s="1"/>
  <c r="X21" s="1"/>
  <c r="M23"/>
  <c r="P23" s="1"/>
  <c r="X23" s="1"/>
  <c r="M25"/>
  <c r="P25" s="1"/>
  <c r="X25" s="1"/>
  <c r="E11"/>
  <c r="H11"/>
  <c r="M11"/>
  <c r="W11"/>
  <c r="M14"/>
  <c r="P14"/>
  <c r="M18"/>
  <c r="P18"/>
  <c r="M20"/>
  <c r="P20"/>
  <c r="M22"/>
  <c r="P22"/>
  <c r="M10"/>
  <c r="P10"/>
  <c r="M12"/>
  <c r="W12"/>
  <c r="S10"/>
  <c r="S11"/>
  <c r="E10"/>
  <c r="H10"/>
  <c r="E12"/>
  <c r="H12"/>
  <c r="M24"/>
  <c r="P24"/>
  <c r="P26"/>
  <c r="M16"/>
  <c r="P16"/>
  <c r="M19"/>
  <c r="P19" s="1"/>
  <c r="X19" s="1"/>
  <c r="G29"/>
  <c r="E29"/>
  <c r="G27"/>
  <c r="E27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R25"/>
  <c r="Z25"/>
  <c r="R15"/>
  <c r="Z15"/>
  <c r="S17"/>
  <c r="AA17" s="1"/>
  <c r="W24"/>
  <c r="R21"/>
  <c r="Z21" s="1"/>
  <c r="R14"/>
  <c r="Z14" s="1"/>
  <c r="W13"/>
  <c r="W17"/>
  <c r="W18"/>
  <c r="W22"/>
  <c r="W23"/>
  <c r="S24"/>
  <c r="AA24" s="1"/>
  <c r="R23"/>
  <c r="Z23"/>
  <c r="R17"/>
  <c r="Z17"/>
  <c r="R13"/>
  <c r="Z13"/>
  <c r="S23"/>
  <c r="AA23"/>
  <c r="S13"/>
  <c r="R11"/>
  <c r="Z11" s="1"/>
  <c r="W15"/>
  <c r="W21"/>
  <c r="W25"/>
  <c r="S14"/>
  <c r="AA14"/>
  <c r="S25"/>
  <c r="AA25" s="1"/>
  <c r="S21"/>
  <c r="AA21" s="1"/>
  <c r="S15"/>
  <c r="AA15" s="1"/>
  <c r="AA11"/>
  <c r="W20"/>
  <c r="S20"/>
  <c r="AA20" s="1"/>
  <c r="R20"/>
  <c r="Z20" s="1"/>
  <c r="W16"/>
  <c r="W14"/>
  <c r="R10"/>
  <c r="Z10" s="1"/>
  <c r="S26"/>
  <c r="S22"/>
  <c r="AA22"/>
  <c r="S18"/>
  <c r="AA18"/>
  <c r="P11"/>
  <c r="X11"/>
  <c r="P12"/>
  <c r="W19"/>
  <c r="S16"/>
  <c r="AA16"/>
  <c r="R22"/>
  <c r="Z22"/>
  <c r="R18"/>
  <c r="Z18"/>
  <c r="R12"/>
  <c r="Z12"/>
  <c r="S12"/>
  <c r="AA12"/>
  <c r="W10"/>
  <c r="R24"/>
  <c r="Z24" s="1"/>
  <c r="X12"/>
  <c r="AA10"/>
  <c r="X10"/>
  <c r="R19"/>
  <c r="Z19" s="1"/>
  <c r="S19"/>
  <c r="AA19" s="1"/>
  <c r="R16"/>
  <c r="Z16" s="1"/>
  <c r="H13"/>
  <c r="X13" s="1"/>
  <c r="AA13"/>
  <c r="H14"/>
  <c r="X14"/>
  <c r="H15"/>
  <c r="H16"/>
  <c r="X16"/>
  <c r="H17"/>
  <c r="H18"/>
  <c r="X18"/>
  <c r="H19"/>
  <c r="H20"/>
  <c r="X20"/>
  <c r="H21"/>
  <c r="H22"/>
  <c r="X22"/>
  <c r="H23"/>
  <c r="H24"/>
  <c r="X24"/>
  <c r="H25"/>
  <c r="H27"/>
  <c r="H29"/>
  <c r="N82" i="9" l="1"/>
  <c r="O82" s="1"/>
  <c r="N81"/>
  <c r="S30" i="8"/>
  <c r="R30"/>
  <c r="D19" i="3" s="1"/>
  <c r="P30" i="8"/>
  <c r="P28"/>
  <c r="R28"/>
  <c r="D17" i="3" s="1"/>
  <c r="S28" i="8"/>
  <c r="O15" i="3"/>
  <c r="N15"/>
  <c r="E26" i="8"/>
  <c r="Z26"/>
  <c r="E15" i="3"/>
  <c r="G26" i="8"/>
  <c r="W26" s="1"/>
  <c r="E30"/>
  <c r="Z30"/>
  <c r="E19" i="3"/>
  <c r="G30" i="8"/>
  <c r="W30" s="1"/>
  <c r="P31"/>
  <c r="X31" s="1"/>
  <c r="W31"/>
  <c r="S31"/>
  <c r="AA31" s="1"/>
  <c r="R31"/>
  <c r="W29"/>
  <c r="R29"/>
  <c r="P29"/>
  <c r="X29" s="1"/>
  <c r="S29"/>
  <c r="AA29" s="1"/>
  <c r="M38"/>
  <c r="P27"/>
  <c r="X27" s="1"/>
  <c r="S27"/>
  <c r="AA27" s="1"/>
  <c r="R27"/>
  <c r="M36"/>
  <c r="R36" s="1"/>
  <c r="S36" s="1"/>
  <c r="AA36" s="1"/>
  <c r="W27"/>
  <c r="E28"/>
  <c r="E17" i="3"/>
  <c r="G28" i="8"/>
  <c r="W28" s="1"/>
  <c r="Z28"/>
  <c r="S39"/>
  <c r="D16" i="3" l="1"/>
  <c r="Z27" i="8"/>
  <c r="D18" i="3"/>
  <c r="Z29" i="8"/>
  <c r="D20" i="3"/>
  <c r="Z31" i="8"/>
  <c r="H30"/>
  <c r="X30" s="1"/>
  <c r="AA30"/>
  <c r="E39"/>
  <c r="AA26"/>
  <c r="H26"/>
  <c r="X26" s="1"/>
  <c r="O17" i="3"/>
  <c r="N17"/>
  <c r="Z40" i="8"/>
  <c r="Z36"/>
  <c r="AA28"/>
  <c r="H28"/>
  <c r="X28" s="1"/>
  <c r="O19" i="3"/>
  <c r="N19"/>
  <c r="W40" i="8"/>
  <c r="O20" i="3" l="1"/>
  <c r="N20"/>
  <c r="O18"/>
  <c r="N18"/>
  <c r="O16"/>
  <c r="O21" s="1"/>
  <c r="N16"/>
  <c r="N21" s="1"/>
  <c r="R14"/>
  <c r="Q14"/>
  <c r="D25"/>
  <c r="O25" s="1"/>
  <c r="N22"/>
  <c r="N24" s="1"/>
  <c r="AA40" i="8"/>
  <c r="X40"/>
  <c r="O26" i="3" l="1"/>
  <c r="O27" s="1"/>
</calcChain>
</file>

<file path=xl/comments1.xml><?xml version="1.0" encoding="utf-8"?>
<comments xmlns="http://schemas.openxmlformats.org/spreadsheetml/2006/main">
  <authors>
    <author>Ken Neuhauser</author>
  </authors>
  <commentList>
    <comment ref="A33" authorId="0">
      <text>
        <r>
          <rPr>
            <b/>
            <sz val="9"/>
            <color indexed="81"/>
            <rFont val="Calibri"/>
            <family val="2"/>
          </rPr>
          <t>Ken Neuhauser:</t>
        </r>
        <r>
          <rPr>
            <sz val="9"/>
            <color indexed="81"/>
            <rFont val="Calibri"/>
            <family val="2"/>
          </rPr>
          <t xml:space="preserve">
July 20-Aug 22</t>
        </r>
      </text>
    </comment>
    <comment ref="A34" authorId="0">
      <text>
        <r>
          <rPr>
            <b/>
            <sz val="9"/>
            <color indexed="81"/>
            <rFont val="Calibri"/>
            <family val="2"/>
          </rPr>
          <t>Ken Neuhauser:</t>
        </r>
        <r>
          <rPr>
            <sz val="9"/>
            <color indexed="81"/>
            <rFont val="Calibri"/>
            <family val="2"/>
          </rPr>
          <t xml:space="preserve">
Aug 22 to Sep 19</t>
        </r>
      </text>
    </comment>
  </commentList>
</comments>
</file>

<file path=xl/comments2.xml><?xml version="1.0" encoding="utf-8"?>
<comments xmlns="http://schemas.openxmlformats.org/spreadsheetml/2006/main">
  <authors>
    <author>Rosi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Rosi:</t>
        </r>
        <r>
          <rPr>
            <sz val="9"/>
            <color indexed="81"/>
            <rFont val="Tahoma"/>
            <family val="2"/>
          </rPr>
          <t xml:space="preserve">
Use "actual" best fit equation but put in TMY3 CDD for the value of X to get new energy use by month
</t>
        </r>
      </text>
    </comment>
  </commentList>
</comments>
</file>

<file path=xl/sharedStrings.xml><?xml version="1.0" encoding="utf-8"?>
<sst xmlns="http://schemas.openxmlformats.org/spreadsheetml/2006/main" count="158" uniqueCount="95">
  <si>
    <t>therms</t>
  </si>
  <si>
    <t>HDD</t>
  </si>
  <si>
    <t>Electricity used</t>
  </si>
  <si>
    <t>(negative)</t>
  </si>
  <si>
    <t>Electric Consumption (kWh)</t>
  </si>
  <si>
    <t>PV Production (kWh)</t>
  </si>
  <si>
    <t>CDD</t>
  </si>
  <si>
    <t>Description:</t>
  </si>
  <si>
    <t>Fahrenheit-based heating degree days for a base temperature of 65F</t>
  </si>
  <si>
    <t>Source:</t>
  </si>
  <si>
    <t>www.degreedays.net (using temperature data from www.wunderground.com)</t>
  </si>
  <si>
    <t>Accuracy:</t>
  </si>
  <si>
    <t>Estimates were made to account for missing data: the "% Estimated" column shows how much each figure was affected (0% is best, 100% is worst)</t>
  </si>
  <si>
    <t>Station:</t>
  </si>
  <si>
    <t>Station ID:</t>
  </si>
  <si>
    <t>Month starting</t>
  </si>
  <si>
    <t>% Estimated</t>
  </si>
  <si>
    <t>Fahrenheit-based cooling degree days for a base temperature of 65F</t>
  </si>
  <si>
    <t>site kwh</t>
  </si>
  <si>
    <t>site Mbtu</t>
  </si>
  <si>
    <t>source Mbtu</t>
  </si>
  <si>
    <t>source kwh</t>
  </si>
  <si>
    <t>kwh to Mbtu</t>
  </si>
  <si>
    <t>therm to MBTU</t>
  </si>
  <si>
    <t>natural gas source/site</t>
  </si>
  <si>
    <t>grid electricity source/site</t>
  </si>
  <si>
    <t>Mbtu to kwh</t>
  </si>
  <si>
    <t>site KWH</t>
  </si>
  <si>
    <t>source KWH</t>
  </si>
  <si>
    <t>Total kwh</t>
  </si>
  <si>
    <t>site</t>
  </si>
  <si>
    <t>source</t>
  </si>
  <si>
    <t>Total Mbtu</t>
  </si>
  <si>
    <t>Retrofit Completed</t>
  </si>
  <si>
    <t>House</t>
  </si>
  <si>
    <t>Project Start</t>
  </si>
  <si>
    <t>Therms</t>
  </si>
  <si>
    <t xml:space="preserve">Reading </t>
  </si>
  <si>
    <t>Bedford, MA, US (71.29W,42.47N)</t>
  </si>
  <si>
    <t>KBED</t>
  </si>
  <si>
    <t>Atkins</t>
  </si>
  <si>
    <t>Westford</t>
  </si>
  <si>
    <t>Bedford</t>
  </si>
  <si>
    <t>Westford Pre-Retrofit</t>
  </si>
  <si>
    <t xml:space="preserve">Total </t>
  </si>
  <si>
    <t>May 2010 - Apr 2011</t>
  </si>
  <si>
    <t>Jan 2010 - Dec 2010</t>
  </si>
  <si>
    <t>Gas from National Grid (matches application)</t>
  </si>
  <si>
    <t>Electricity from National Grid (matches application)</t>
  </si>
  <si>
    <t>kwh</t>
  </si>
  <si>
    <t>Reading</t>
  </si>
  <si>
    <t>Total</t>
  </si>
  <si>
    <t>May 2010-Apr 2011</t>
  </si>
  <si>
    <t>Jan 2010- Dec 2010</t>
  </si>
  <si>
    <t>Project complete</t>
  </si>
  <si>
    <t>Totals 6 months</t>
  </si>
  <si>
    <t>Post Retrofit</t>
  </si>
  <si>
    <t>Natural Gas usage</t>
  </si>
  <si>
    <t>Totals</t>
  </si>
  <si>
    <t>Jan 10 - Dec 10 Totals</t>
  </si>
  <si>
    <t>May 10 - Apr 11 Totals</t>
  </si>
  <si>
    <t>MIN USAGE IN 6 MOS</t>
  </si>
  <si>
    <t>Linear Regression on Post Retrofit data</t>
  </si>
  <si>
    <t xml:space="preserve">Month </t>
  </si>
  <si>
    <t>Date</t>
  </si>
  <si>
    <t>Actual CDD</t>
  </si>
  <si>
    <t>Actual HDD</t>
  </si>
  <si>
    <t>Predicted (BEopt 1.3) BOSTON</t>
  </si>
  <si>
    <t>BEopt 1.3 kWh</t>
  </si>
  <si>
    <t>BEopt 1.3 CDD</t>
  </si>
  <si>
    <t>BEopt 1.3 HDD</t>
  </si>
  <si>
    <t>Electricity</t>
  </si>
  <si>
    <t>Natural Gas</t>
  </si>
  <si>
    <t>Actual site energy</t>
  </si>
  <si>
    <t>Normalized Source</t>
  </si>
  <si>
    <t>TOTALS</t>
  </si>
  <si>
    <t>WEATHER NORMALIZATION</t>
  </si>
  <si>
    <t>Normalized natural gas MMBtu</t>
  </si>
  <si>
    <t>Non-normalized electricity MMBtu</t>
  </si>
  <si>
    <t>Normalized Total site</t>
  </si>
  <si>
    <t>MMBtu</t>
  </si>
  <si>
    <t>MMBtu Normalized Natural Gas</t>
  </si>
  <si>
    <t>MMBtu Normalized Total Site</t>
  </si>
  <si>
    <t>MMBtu Normalized Source</t>
  </si>
  <si>
    <t>kBtu/sf</t>
  </si>
  <si>
    <t>Feb 10- Jul 10 MMBtu</t>
  </si>
  <si>
    <t>MIN 6 mo</t>
  </si>
  <si>
    <t>H/C MMbtu</t>
  </si>
  <si>
    <t>H/C MMBtu</t>
  </si>
  <si>
    <t>% H/C</t>
  </si>
  <si>
    <t>6 mo MMBtu</t>
  </si>
  <si>
    <t>Site</t>
  </si>
  <si>
    <t>Source</t>
  </si>
  <si>
    <t>Projected 12 month using normalized gas but duplicated electricity</t>
  </si>
  <si>
    <t>6 mo</t>
  </si>
</sst>
</file>

<file path=xl/styles.xml><?xml version="1.0" encoding="utf-8"?>
<styleSheet xmlns="http://schemas.openxmlformats.org/spreadsheetml/2006/main">
  <numFmts count="1">
    <numFmt numFmtId="164" formatCode="&quot;$&quot;#,##0.000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8"/>
      <color indexed="8"/>
      <name val="Verdan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93">
    <xf numFmtId="0" fontId="0" fillId="0" borderId="0" xfId="0"/>
    <xf numFmtId="17" fontId="0" fillId="0" borderId="0" xfId="0" applyNumberFormat="1"/>
    <xf numFmtId="0" fontId="18" fillId="0" borderId="10" xfId="42" applyNumberFormat="1" applyFont="1" applyFill="1" applyBorder="1" applyAlignment="1">
      <alignment wrapText="1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9" fillId="0" borderId="0" xfId="43" applyAlignment="1" applyProtection="1"/>
    <xf numFmtId="4" fontId="0" fillId="0" borderId="0" xfId="0" applyNumberFormat="1"/>
    <xf numFmtId="2" fontId="18" fillId="0" borderId="10" xfId="42" applyNumberFormat="1" applyFont="1" applyFill="1" applyBorder="1" applyAlignment="1">
      <alignment wrapText="1"/>
    </xf>
    <xf numFmtId="2" fontId="0" fillId="0" borderId="0" xfId="0" applyNumberFormat="1"/>
    <xf numFmtId="0" fontId="18" fillId="33" borderId="10" xfId="42" applyNumberFormat="1" applyFont="1" applyFill="1" applyBorder="1" applyAlignment="1">
      <alignment wrapText="1"/>
    </xf>
    <xf numFmtId="49" fontId="18" fillId="33" borderId="10" xfId="42" applyNumberFormat="1" applyFont="1" applyFill="1" applyBorder="1" applyAlignment="1">
      <alignment wrapText="1"/>
    </xf>
    <xf numFmtId="0" fontId="18" fillId="0" borderId="0" xfId="42" applyNumberFormat="1" applyFont="1" applyFill="1" applyBorder="1" applyAlignment="1">
      <alignment wrapText="1"/>
    </xf>
    <xf numFmtId="2" fontId="0" fillId="0" borderId="0" xfId="0" applyNumberFormat="1" applyFill="1" applyBorder="1"/>
    <xf numFmtId="1" fontId="0" fillId="0" borderId="0" xfId="0" applyNumberFormat="1"/>
    <xf numFmtId="0" fontId="0" fillId="0" borderId="0" xfId="0" applyBorder="1"/>
    <xf numFmtId="17" fontId="0" fillId="0" borderId="11" xfId="0" applyNumberFormat="1" applyFill="1" applyBorder="1"/>
    <xf numFmtId="0" fontId="0" fillId="0" borderId="12" xfId="0" applyFill="1" applyBorder="1"/>
    <xf numFmtId="17" fontId="0" fillId="0" borderId="13" xfId="0" applyNumberFormat="1" applyFill="1" applyBorder="1"/>
    <xf numFmtId="0" fontId="0" fillId="0" borderId="14" xfId="0" applyFill="1" applyBorder="1"/>
    <xf numFmtId="17" fontId="0" fillId="0" borderId="15" xfId="0" applyNumberFormat="1" applyFill="1" applyBorder="1"/>
    <xf numFmtId="0" fontId="0" fillId="0" borderId="16" xfId="0" applyFill="1" applyBorder="1"/>
    <xf numFmtId="2" fontId="0" fillId="0" borderId="0" xfId="0" applyNumberFormat="1" applyFill="1"/>
    <xf numFmtId="17" fontId="0" fillId="0" borderId="11" xfId="0" applyNumberFormat="1" applyBorder="1"/>
    <xf numFmtId="0" fontId="0" fillId="0" borderId="12" xfId="0" applyBorder="1"/>
    <xf numFmtId="17" fontId="0" fillId="0" borderId="13" xfId="0" applyNumberFormat="1" applyBorder="1"/>
    <xf numFmtId="0" fontId="0" fillId="0" borderId="14" xfId="0" applyBorder="1"/>
    <xf numFmtId="17" fontId="0" fillId="0" borderId="15" xfId="0" applyNumberFormat="1" applyBorder="1"/>
    <xf numFmtId="0" fontId="0" fillId="0" borderId="16" xfId="0" applyBorder="1"/>
    <xf numFmtId="17" fontId="0" fillId="0" borderId="0" xfId="0" applyNumberFormat="1" applyBorder="1"/>
    <xf numFmtId="1" fontId="0" fillId="0" borderId="0" xfId="0" applyNumberFormat="1" applyBorder="1"/>
    <xf numFmtId="2" fontId="0" fillId="0" borderId="11" xfId="0" applyNumberFormat="1" applyBorder="1"/>
    <xf numFmtId="2" fontId="0" fillId="0" borderId="17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0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8" xfId="0" applyNumberFormat="1" applyBorder="1"/>
    <xf numFmtId="2" fontId="0" fillId="0" borderId="16" xfId="0" applyNumberFormat="1" applyBorder="1"/>
    <xf numFmtId="0" fontId="0" fillId="0" borderId="11" xfId="0" applyBorder="1"/>
    <xf numFmtId="0" fontId="0" fillId="0" borderId="17" xfId="0" applyBorder="1"/>
    <xf numFmtId="0" fontId="0" fillId="0" borderId="13" xfId="0" applyBorder="1"/>
    <xf numFmtId="0" fontId="0" fillId="0" borderId="15" xfId="0" applyBorder="1"/>
    <xf numFmtId="0" fontId="0" fillId="0" borderId="18" xfId="0" applyBorder="1"/>
    <xf numFmtId="4" fontId="0" fillId="0" borderId="0" xfId="0" applyNumberFormat="1" applyBorder="1"/>
    <xf numFmtId="0" fontId="0" fillId="0" borderId="13" xfId="0" applyFill="1" applyBorder="1"/>
    <xf numFmtId="2" fontId="0" fillId="0" borderId="14" xfId="0" applyNumberFormat="1" applyFill="1" applyBorder="1"/>
    <xf numFmtId="2" fontId="18" fillId="0" borderId="0" xfId="42" applyNumberFormat="1" applyFont="1" applyFill="1" applyBorder="1" applyAlignment="1">
      <alignment wrapText="1"/>
    </xf>
    <xf numFmtId="14" fontId="20" fillId="0" borderId="19" xfId="0" applyNumberFormat="1" applyFont="1" applyBorder="1" applyAlignment="1">
      <alignment horizontal="left" wrapText="1"/>
    </xf>
    <xf numFmtId="0" fontId="20" fillId="0" borderId="19" xfId="0" applyFont="1" applyBorder="1" applyAlignment="1">
      <alignment horizontal="left" wrapText="1"/>
    </xf>
    <xf numFmtId="3" fontId="20" fillId="0" borderId="19" xfId="0" applyNumberFormat="1" applyFont="1" applyBorder="1" applyAlignment="1">
      <alignment horizontal="left" wrapText="1"/>
    </xf>
    <xf numFmtId="2" fontId="18" fillId="0" borderId="0" xfId="42" applyNumberFormat="1" applyFont="1" applyFill="1" applyBorder="1" applyAlignment="1"/>
    <xf numFmtId="2" fontId="18" fillId="0" borderId="20" xfId="42" applyNumberFormat="1" applyFont="1" applyFill="1" applyBorder="1" applyAlignment="1">
      <alignment wrapText="1"/>
    </xf>
    <xf numFmtId="2" fontId="18" fillId="0" borderId="21" xfId="42" applyNumberFormat="1" applyFont="1" applyFill="1" applyBorder="1" applyAlignment="1">
      <alignment wrapText="1"/>
    </xf>
    <xf numFmtId="2" fontId="0" fillId="0" borderId="21" xfId="0" applyNumberFormat="1" applyBorder="1"/>
    <xf numFmtId="0" fontId="0" fillId="0" borderId="21" xfId="0" applyBorder="1"/>
    <xf numFmtId="2" fontId="0" fillId="0" borderId="22" xfId="0" applyNumberFormat="1" applyBorder="1"/>
    <xf numFmtId="164" fontId="18" fillId="0" borderId="0" xfId="42" applyNumberFormat="1" applyFill="1" applyAlignment="1">
      <alignment horizontal="right"/>
    </xf>
    <xf numFmtId="164" fontId="21" fillId="0" borderId="18" xfId="42" applyNumberFormat="1" applyFont="1" applyFill="1" applyBorder="1" applyAlignment="1">
      <alignment horizontal="center" wrapText="1"/>
    </xf>
    <xf numFmtId="164" fontId="21" fillId="0" borderId="18" xfId="42" applyNumberFormat="1" applyFont="1" applyFill="1" applyBorder="1" applyAlignment="1">
      <alignment horizontal="right" wrapText="1"/>
    </xf>
    <xf numFmtId="0" fontId="18" fillId="0" borderId="0" xfId="42" applyNumberFormat="1" applyFill="1" applyAlignment="1"/>
    <xf numFmtId="0" fontId="22" fillId="0" borderId="0" xfId="0" applyFont="1"/>
    <xf numFmtId="0" fontId="18" fillId="0" borderId="18" xfId="42" applyNumberFormat="1" applyBorder="1" applyAlignment="1"/>
    <xf numFmtId="0" fontId="22" fillId="0" borderId="18" xfId="0" applyFont="1" applyBorder="1"/>
    <xf numFmtId="0" fontId="22" fillId="0" borderId="0" xfId="0" applyFont="1" applyBorder="1"/>
    <xf numFmtId="0" fontId="18" fillId="0" borderId="0" xfId="42" applyNumberFormat="1" applyBorder="1" applyAlignment="1"/>
    <xf numFmtId="1" fontId="23" fillId="34" borderId="0" xfId="0" applyNumberFormat="1" applyFont="1" applyFill="1" applyBorder="1"/>
    <xf numFmtId="0" fontId="18" fillId="0" borderId="0" xfId="42" applyNumberFormat="1" applyAlignment="1"/>
    <xf numFmtId="3" fontId="18" fillId="0" borderId="0" xfId="42" applyNumberFormat="1" applyFont="1" applyAlignment="1">
      <alignment horizontal="center"/>
    </xf>
    <xf numFmtId="164" fontId="21" fillId="0" borderId="0" xfId="42" applyNumberFormat="1" applyFont="1" applyFill="1" applyBorder="1" applyAlignment="1">
      <alignment horizontal="center" wrapText="1"/>
    </xf>
    <xf numFmtId="10" fontId="0" fillId="0" borderId="0" xfId="0" applyNumberFormat="1"/>
    <xf numFmtId="164" fontId="18" fillId="0" borderId="0" xfId="42" applyNumberFormat="1" applyFill="1" applyBorder="1" applyAlignment="1">
      <alignment horizontal="right"/>
    </xf>
    <xf numFmtId="0" fontId="18" fillId="0" borderId="0" xfId="42" applyNumberFormat="1" applyFill="1" applyBorder="1" applyAlignment="1"/>
    <xf numFmtId="0" fontId="0" fillId="0" borderId="0" xfId="0" applyBorder="1" applyAlignment="1">
      <alignment wrapText="1"/>
    </xf>
    <xf numFmtId="17" fontId="0" fillId="0" borderId="18" xfId="0" applyNumberFormat="1" applyBorder="1"/>
    <xf numFmtId="2" fontId="23" fillId="34" borderId="0" xfId="0" applyNumberFormat="1" applyFont="1" applyFill="1" applyBorder="1"/>
    <xf numFmtId="2" fontId="23" fillId="34" borderId="18" xfId="0" applyNumberFormat="1" applyFont="1" applyFill="1" applyBorder="1"/>
    <xf numFmtId="2" fontId="23" fillId="0" borderId="0" xfId="0" applyNumberFormat="1" applyFont="1"/>
    <xf numFmtId="1" fontId="0" fillId="0" borderId="0" xfId="0" applyNumberFormat="1" applyFill="1" applyBorder="1"/>
    <xf numFmtId="2" fontId="18" fillId="0" borderId="0" xfId="42" applyNumberFormat="1" applyBorder="1" applyAlignment="1"/>
    <xf numFmtId="2" fontId="23" fillId="34" borderId="23" xfId="0" applyNumberFormat="1" applyFont="1" applyFill="1" applyBorder="1"/>
    <xf numFmtId="2" fontId="23" fillId="34" borderId="24" xfId="0" applyNumberFormat="1" applyFont="1" applyFill="1" applyBorder="1"/>
    <xf numFmtId="2" fontId="23" fillId="34" borderId="25" xfId="0" applyNumberFormat="1" applyFont="1" applyFill="1" applyBorder="1"/>
    <xf numFmtId="2" fontId="0" fillId="0" borderId="20" xfId="0" applyNumberFormat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3" fontId="18" fillId="0" borderId="0" xfId="42" applyNumberFormat="1" applyFont="1" applyBorder="1" applyAlignment="1">
      <alignment horizontal="center"/>
    </xf>
    <xf numFmtId="3" fontId="18" fillId="0" borderId="0" xfId="42" applyNumberFormat="1" applyFont="1" applyAlignment="1">
      <alignment horizont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4" builtinId="9" hidden="1"/>
    <cellStyle name="Followed Hyperlink" xfId="45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v>Natural gas energy use vs HDD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'Pre-Retrofit'!$P$40:$P$51</c:f>
              <c:numCache>
                <c:formatCode>General</c:formatCode>
                <c:ptCount val="12"/>
                <c:pt idx="0">
                  <c:v>1191</c:v>
                </c:pt>
                <c:pt idx="1">
                  <c:v>964</c:v>
                </c:pt>
                <c:pt idx="2">
                  <c:v>706</c:v>
                </c:pt>
                <c:pt idx="3">
                  <c:v>427</c:v>
                </c:pt>
                <c:pt idx="4">
                  <c:v>209</c:v>
                </c:pt>
                <c:pt idx="5">
                  <c:v>65</c:v>
                </c:pt>
                <c:pt idx="6">
                  <c:v>22</c:v>
                </c:pt>
                <c:pt idx="7">
                  <c:v>44</c:v>
                </c:pt>
                <c:pt idx="8">
                  <c:v>112</c:v>
                </c:pt>
                <c:pt idx="9">
                  <c:v>442</c:v>
                </c:pt>
                <c:pt idx="10">
                  <c:v>710</c:v>
                </c:pt>
                <c:pt idx="11">
                  <c:v>1110</c:v>
                </c:pt>
              </c:numCache>
            </c:numRef>
          </c:xVal>
          <c:yVal>
            <c:numRef>
              <c:f>'Pre-Retrofit'!$D$40:$D$51</c:f>
              <c:numCache>
                <c:formatCode>0.00</c:formatCode>
                <c:ptCount val="12"/>
                <c:pt idx="0">
                  <c:v>21</c:v>
                </c:pt>
                <c:pt idx="1">
                  <c:v>19.8</c:v>
                </c:pt>
                <c:pt idx="2">
                  <c:v>67.3</c:v>
                </c:pt>
                <c:pt idx="3">
                  <c:v>11.9</c:v>
                </c:pt>
                <c:pt idx="4">
                  <c:v>5.6000000000000005</c:v>
                </c:pt>
                <c:pt idx="5">
                  <c:v>3.7</c:v>
                </c:pt>
                <c:pt idx="6">
                  <c:v>5.4</c:v>
                </c:pt>
                <c:pt idx="7">
                  <c:v>3.3000000000000003</c:v>
                </c:pt>
                <c:pt idx="8">
                  <c:v>3.4000000000000004</c:v>
                </c:pt>
                <c:pt idx="9">
                  <c:v>4.7</c:v>
                </c:pt>
                <c:pt idx="10">
                  <c:v>10.5</c:v>
                </c:pt>
                <c:pt idx="11">
                  <c:v>19.5</c:v>
                </c:pt>
              </c:numCache>
            </c:numRef>
          </c:yVal>
        </c:ser>
        <c:axId val="65129856"/>
        <c:axId val="65161472"/>
      </c:scatterChart>
      <c:valAx>
        <c:axId val="65129856"/>
        <c:scaling>
          <c:orientation val="minMax"/>
        </c:scaling>
        <c:axPos val="b"/>
        <c:numFmt formatCode="General" sourceLinked="1"/>
        <c:tickLblPos val="nextTo"/>
        <c:crossAx val="65161472"/>
        <c:crosses val="autoZero"/>
        <c:crossBetween val="midCat"/>
      </c:valAx>
      <c:valAx>
        <c:axId val="65161472"/>
        <c:scaling>
          <c:orientation val="minMax"/>
        </c:scaling>
        <c:axPos val="l"/>
        <c:majorGridlines/>
        <c:numFmt formatCode="0.00" sourceLinked="1"/>
        <c:tickLblPos val="nextTo"/>
        <c:crossAx val="65129856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Westford Single</a:t>
            </a:r>
            <a:r>
              <a:rPr lang="en-US" baseline="0"/>
              <a:t> Family Natural Gas Use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16032501086105697"/>
          <c:y val="0.13928441236512232"/>
          <c:w val="0.70199463053389866"/>
          <c:h val="0.59817062797705756"/>
        </c:manualLayout>
      </c:layout>
      <c:barChart>
        <c:barDir val="col"/>
        <c:grouping val="clustered"/>
        <c:ser>
          <c:idx val="0"/>
          <c:order val="0"/>
          <c:tx>
            <c:strRef>
              <c:f>Gas!$C$5</c:f>
              <c:strCache>
                <c:ptCount val="1"/>
                <c:pt idx="0">
                  <c:v>therms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Gas!$A$11:$A$30</c:f>
              <c:numCache>
                <c:formatCode>mmm-yy</c:formatCode>
                <c:ptCount val="20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</c:numCache>
            </c:numRef>
          </c:cat>
          <c:val>
            <c:numRef>
              <c:f>Gas!$C$11:$C$30</c:f>
              <c:numCache>
                <c:formatCode>0.00</c:formatCode>
                <c:ptCount val="20"/>
                <c:pt idx="0">
                  <c:v>195</c:v>
                </c:pt>
                <c:pt idx="1">
                  <c:v>232</c:v>
                </c:pt>
                <c:pt idx="2">
                  <c:v>192</c:v>
                </c:pt>
                <c:pt idx="3">
                  <c:v>181</c:v>
                </c:pt>
                <c:pt idx="4">
                  <c:v>138</c:v>
                </c:pt>
                <c:pt idx="5">
                  <c:v>49</c:v>
                </c:pt>
                <c:pt idx="6">
                  <c:v>22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21</c:v>
                </c:pt>
                <c:pt idx="11">
                  <c:v>74</c:v>
                </c:pt>
                <c:pt idx="12">
                  <c:v>132</c:v>
                </c:pt>
                <c:pt idx="13">
                  <c:v>152</c:v>
                </c:pt>
                <c:pt idx="14">
                  <c:v>131</c:v>
                </c:pt>
                <c:pt idx="15">
                  <c:v>116</c:v>
                </c:pt>
                <c:pt idx="16">
                  <c:v>56</c:v>
                </c:pt>
                <c:pt idx="17">
                  <c:v>32</c:v>
                </c:pt>
                <c:pt idx="18">
                  <c:v>21</c:v>
                </c:pt>
                <c:pt idx="19">
                  <c:v>19</c:v>
                </c:pt>
              </c:numCache>
            </c:numRef>
          </c:val>
        </c:ser>
        <c:axId val="65299968"/>
        <c:axId val="65301504"/>
      </c:barChart>
      <c:lineChart>
        <c:grouping val="standard"/>
        <c:ser>
          <c:idx val="1"/>
          <c:order val="1"/>
          <c:tx>
            <c:strRef>
              <c:f>Gas!$D$5</c:f>
              <c:strCache>
                <c:ptCount val="1"/>
                <c:pt idx="0">
                  <c:v>HDD</c:v>
                </c:pt>
              </c:strCache>
            </c:strRef>
          </c:tx>
          <c:cat>
            <c:numRef>
              <c:f>Gas!$A$11:$A$17</c:f>
              <c:numCache>
                <c:formatCode>mmm-yy</c:formatCode>
                <c:ptCount val="7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</c:numCache>
            </c:numRef>
          </c:cat>
          <c:val>
            <c:numRef>
              <c:f>Gas!$D$11:$D$30</c:f>
              <c:numCache>
                <c:formatCode>General</c:formatCode>
                <c:ptCount val="20"/>
                <c:pt idx="0">
                  <c:v>1110</c:v>
                </c:pt>
                <c:pt idx="1">
                  <c:v>1298</c:v>
                </c:pt>
                <c:pt idx="2">
                  <c:v>1070</c:v>
                </c:pt>
                <c:pt idx="3">
                  <c:v>884</c:v>
                </c:pt>
                <c:pt idx="4">
                  <c:v>502</c:v>
                </c:pt>
                <c:pt idx="5">
                  <c:v>268</c:v>
                </c:pt>
                <c:pt idx="6">
                  <c:v>113</c:v>
                </c:pt>
                <c:pt idx="7">
                  <c:v>20</c:v>
                </c:pt>
                <c:pt idx="8">
                  <c:v>31</c:v>
                </c:pt>
                <c:pt idx="9">
                  <c:v>108</c:v>
                </c:pt>
                <c:pt idx="10">
                  <c:v>418</c:v>
                </c:pt>
                <c:pt idx="11">
                  <c:v>563</c:v>
                </c:pt>
                <c:pt idx="12">
                  <c:v>882</c:v>
                </c:pt>
                <c:pt idx="13">
                  <c:v>1053</c:v>
                </c:pt>
                <c:pt idx="14">
                  <c:v>895</c:v>
                </c:pt>
                <c:pt idx="15">
                  <c:v>652</c:v>
                </c:pt>
                <c:pt idx="16">
                  <c:v>463</c:v>
                </c:pt>
                <c:pt idx="17">
                  <c:v>208</c:v>
                </c:pt>
                <c:pt idx="18">
                  <c:v>121</c:v>
                </c:pt>
                <c:pt idx="19">
                  <c:v>22</c:v>
                </c:pt>
              </c:numCache>
            </c:numRef>
          </c:val>
        </c:ser>
        <c:marker val="1"/>
        <c:axId val="65320064"/>
        <c:axId val="65304448"/>
      </c:lineChart>
      <c:dateAx>
        <c:axId val="65299968"/>
        <c:scaling>
          <c:orientation val="minMax"/>
        </c:scaling>
        <c:axPos val="b"/>
        <c:numFmt formatCode="mmm-yy" sourceLinked="1"/>
        <c:tickLblPos val="nextTo"/>
        <c:txPr>
          <a:bodyPr rot="-2340000"/>
          <a:lstStyle/>
          <a:p>
            <a:pPr>
              <a:defRPr/>
            </a:pPr>
            <a:endParaRPr lang="en-US"/>
          </a:p>
        </c:txPr>
        <c:crossAx val="65301504"/>
        <c:crosses val="autoZero"/>
        <c:auto val="1"/>
        <c:lblOffset val="100"/>
        <c:baseTimeUnit val="months"/>
      </c:dateAx>
      <c:valAx>
        <c:axId val="6530150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Therms/month</a:t>
                </a:r>
              </a:p>
            </c:rich>
          </c:tx>
        </c:title>
        <c:numFmt formatCode="0.00" sourceLinked="1"/>
        <c:tickLblPos val="nextTo"/>
        <c:crossAx val="65299968"/>
        <c:crosses val="autoZero"/>
        <c:crossBetween val="between"/>
      </c:valAx>
      <c:valAx>
        <c:axId val="6530444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rgbClr val="FF0000"/>
                    </a:solidFill>
                  </a:rPr>
                  <a:t>Heating Degree Days </a:t>
                </a:r>
                <a:r>
                  <a:rPr lang="en-US" baseline="0">
                    <a:solidFill>
                      <a:srgbClr val="FF0000"/>
                    </a:solidFill>
                  </a:rPr>
                  <a:t> Base 65 F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en-US"/>
          </a:p>
        </c:txPr>
        <c:crossAx val="65320064"/>
        <c:crosses val="max"/>
        <c:crossBetween val="between"/>
      </c:valAx>
      <c:dateAx>
        <c:axId val="65320064"/>
        <c:scaling>
          <c:orientation val="minMax"/>
        </c:scaling>
        <c:delete val="1"/>
        <c:axPos val="b"/>
        <c:numFmt formatCode="mmm-yy" sourceLinked="1"/>
        <c:tickLblPos val="none"/>
        <c:crossAx val="65304448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35853118474607099"/>
          <c:y val="0.88564237630019116"/>
          <c:w val="0.26684364683247502"/>
          <c:h val="9.120947555166746E-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488" l="0.70000000000000162" r="0.70000000000000162" t="0.750000000000004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Westford Single</a:t>
            </a:r>
            <a:r>
              <a:rPr lang="en-US" sz="1200" baseline="0"/>
              <a:t> Family Electrical Consumption </a:t>
            </a:r>
            <a:endParaRPr lang="en-US" sz="1200"/>
          </a:p>
        </c:rich>
      </c:tx>
      <c:layout>
        <c:manualLayout>
          <c:xMode val="edge"/>
          <c:yMode val="edge"/>
          <c:x val="0.13145144936353201"/>
          <c:y val="7.66080950407515E-2"/>
        </c:manualLayout>
      </c:layout>
    </c:title>
    <c:plotArea>
      <c:layout>
        <c:manualLayout>
          <c:layoutTarget val="inner"/>
          <c:xMode val="edge"/>
          <c:yMode val="edge"/>
          <c:x val="0.15905796150481222"/>
          <c:y val="0.19480351414406497"/>
          <c:w val="0.7133039385529335"/>
          <c:h val="0.561739466777185"/>
        </c:manualLayout>
      </c:layout>
      <c:barChart>
        <c:barDir val="col"/>
        <c:grouping val="clustered"/>
        <c:ser>
          <c:idx val="0"/>
          <c:order val="0"/>
          <c:tx>
            <c:strRef>
              <c:f>Elec!$D$5</c:f>
              <c:strCache>
                <c:ptCount val="1"/>
                <c:pt idx="0">
                  <c:v>Electric Consumption (kWh)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cat>
            <c:numRef>
              <c:f>Elec!$A$14:$A$34</c:f>
              <c:numCache>
                <c:formatCode>mmm-yy</c:formatCode>
                <c:ptCount val="21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</c:numCache>
            </c:numRef>
          </c:cat>
          <c:val>
            <c:numRef>
              <c:f>Elec!$D$14:$D$34</c:f>
              <c:numCache>
                <c:formatCode>0</c:formatCode>
                <c:ptCount val="21"/>
                <c:pt idx="0">
                  <c:v>857</c:v>
                </c:pt>
                <c:pt idx="1">
                  <c:v>614</c:v>
                </c:pt>
                <c:pt idx="2">
                  <c:v>630</c:v>
                </c:pt>
                <c:pt idx="3">
                  <c:v>692</c:v>
                </c:pt>
                <c:pt idx="4">
                  <c:v>547</c:v>
                </c:pt>
                <c:pt idx="5">
                  <c:v>543</c:v>
                </c:pt>
                <c:pt idx="6">
                  <c:v>233</c:v>
                </c:pt>
                <c:pt idx="7">
                  <c:v>289</c:v>
                </c:pt>
                <c:pt idx="8">
                  <c:v>262</c:v>
                </c:pt>
                <c:pt idx="9">
                  <c:v>207</c:v>
                </c:pt>
                <c:pt idx="10">
                  <c:v>417</c:v>
                </c:pt>
                <c:pt idx="11">
                  <c:v>806</c:v>
                </c:pt>
                <c:pt idx="12">
                  <c:v>1081</c:v>
                </c:pt>
                <c:pt idx="13">
                  <c:v>879</c:v>
                </c:pt>
                <c:pt idx="14">
                  <c:v>941</c:v>
                </c:pt>
                <c:pt idx="15">
                  <c:v>682</c:v>
                </c:pt>
                <c:pt idx="16">
                  <c:v>782</c:v>
                </c:pt>
                <c:pt idx="17">
                  <c:v>940</c:v>
                </c:pt>
                <c:pt idx="18">
                  <c:v>1389</c:v>
                </c:pt>
                <c:pt idx="19">
                  <c:v>1266</c:v>
                </c:pt>
                <c:pt idx="20">
                  <c:v>930</c:v>
                </c:pt>
              </c:numCache>
            </c:numRef>
          </c:val>
        </c:ser>
        <c:ser>
          <c:idx val="1"/>
          <c:order val="1"/>
          <c:tx>
            <c:strRef>
              <c:f>Elec!$E$5</c:f>
              <c:strCache>
                <c:ptCount val="1"/>
                <c:pt idx="0">
                  <c:v>PV Production (kWh)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>
                  <a:alpha val="25000"/>
                </a:schemeClr>
              </a:solidFill>
            </a:ln>
          </c:spPr>
          <c:cat>
            <c:numRef>
              <c:f>Elec!$A$14:$A$34</c:f>
              <c:numCache>
                <c:formatCode>mmm-yy</c:formatCode>
                <c:ptCount val="21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</c:numCache>
            </c:numRef>
          </c:cat>
          <c:val>
            <c:numRef>
              <c:f>Elec!$E$14:$E$34</c:f>
              <c:numCache>
                <c:formatCode>General</c:formatCode>
                <c:ptCount val="21"/>
              </c:numCache>
            </c:numRef>
          </c:val>
        </c:ser>
        <c:gapWidth val="202"/>
        <c:overlap val="100"/>
        <c:axId val="73634944"/>
        <c:axId val="73662848"/>
      </c:barChart>
      <c:lineChart>
        <c:grouping val="standard"/>
        <c:ser>
          <c:idx val="2"/>
          <c:order val="2"/>
          <c:tx>
            <c:strRef>
              <c:f>Elec!$F$5</c:f>
              <c:strCache>
                <c:ptCount val="1"/>
                <c:pt idx="0">
                  <c:v>HDD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Elec!$A$14:$A$34</c:f>
              <c:numCache>
                <c:formatCode>mmm-yy</c:formatCode>
                <c:ptCount val="21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</c:numCache>
            </c:numRef>
          </c:cat>
          <c:val>
            <c:numRef>
              <c:f>Elec!$F$14:$F$34</c:f>
              <c:numCache>
                <c:formatCode>General</c:formatCode>
                <c:ptCount val="21"/>
                <c:pt idx="0">
                  <c:v>1298</c:v>
                </c:pt>
                <c:pt idx="1">
                  <c:v>1070</c:v>
                </c:pt>
                <c:pt idx="2">
                  <c:v>884</c:v>
                </c:pt>
                <c:pt idx="3">
                  <c:v>502</c:v>
                </c:pt>
                <c:pt idx="4">
                  <c:v>268</c:v>
                </c:pt>
                <c:pt idx="5">
                  <c:v>113</c:v>
                </c:pt>
                <c:pt idx="6">
                  <c:v>20</c:v>
                </c:pt>
                <c:pt idx="7">
                  <c:v>31</c:v>
                </c:pt>
                <c:pt idx="8">
                  <c:v>108</c:v>
                </c:pt>
                <c:pt idx="9">
                  <c:v>418</c:v>
                </c:pt>
                <c:pt idx="10">
                  <c:v>563</c:v>
                </c:pt>
                <c:pt idx="11">
                  <c:v>882</c:v>
                </c:pt>
                <c:pt idx="12">
                  <c:v>1053</c:v>
                </c:pt>
                <c:pt idx="13">
                  <c:v>895</c:v>
                </c:pt>
                <c:pt idx="14">
                  <c:v>652</c:v>
                </c:pt>
                <c:pt idx="15">
                  <c:v>463</c:v>
                </c:pt>
                <c:pt idx="16">
                  <c:v>208</c:v>
                </c:pt>
                <c:pt idx="17">
                  <c:v>121</c:v>
                </c:pt>
                <c:pt idx="18">
                  <c:v>22</c:v>
                </c:pt>
                <c:pt idx="19">
                  <c:v>27</c:v>
                </c:pt>
                <c:pt idx="20">
                  <c:v>169</c:v>
                </c:pt>
              </c:numCache>
            </c:numRef>
          </c:val>
        </c:ser>
        <c:marker val="1"/>
        <c:axId val="73634944"/>
        <c:axId val="73662848"/>
      </c:lineChart>
      <c:lineChart>
        <c:grouping val="standard"/>
        <c:ser>
          <c:idx val="3"/>
          <c:order val="3"/>
          <c:tx>
            <c:strRef>
              <c:f>Elec!$G$5</c:f>
              <c:strCache>
                <c:ptCount val="1"/>
                <c:pt idx="0">
                  <c:v>CDD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Elec!$A$14:$A$34</c:f>
              <c:numCache>
                <c:formatCode>mmm-yy</c:formatCode>
                <c:ptCount val="21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</c:numCache>
            </c:numRef>
          </c:cat>
          <c:val>
            <c:numRef>
              <c:f>Elec!$G$14:$G$34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63</c:v>
                </c:pt>
                <c:pt idx="5">
                  <c:v>122</c:v>
                </c:pt>
                <c:pt idx="6">
                  <c:v>309</c:v>
                </c:pt>
                <c:pt idx="7">
                  <c:v>202</c:v>
                </c:pt>
                <c:pt idx="8">
                  <c:v>105</c:v>
                </c:pt>
                <c:pt idx="9">
                  <c:v>15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23</c:v>
                </c:pt>
                <c:pt idx="15">
                  <c:v>26</c:v>
                </c:pt>
                <c:pt idx="16">
                  <c:v>60</c:v>
                </c:pt>
                <c:pt idx="17">
                  <c:v>128</c:v>
                </c:pt>
                <c:pt idx="18">
                  <c:v>291</c:v>
                </c:pt>
                <c:pt idx="19">
                  <c:v>267</c:v>
                </c:pt>
                <c:pt idx="20">
                  <c:v>81</c:v>
                </c:pt>
              </c:numCache>
            </c:numRef>
          </c:val>
        </c:ser>
        <c:marker val="1"/>
        <c:axId val="75398144"/>
        <c:axId val="73665152"/>
      </c:lineChart>
      <c:dateAx>
        <c:axId val="73634944"/>
        <c:scaling>
          <c:orientation val="minMax"/>
        </c:scaling>
        <c:axPos val="b"/>
        <c:numFmt formatCode="mmm-yy" sourceLinked="1"/>
        <c:tickLblPos val="nextTo"/>
        <c:txPr>
          <a:bodyPr rot="-2640000"/>
          <a:lstStyle/>
          <a:p>
            <a:pPr>
              <a:defRPr/>
            </a:pPr>
            <a:endParaRPr lang="en-US"/>
          </a:p>
        </c:txPr>
        <c:crossAx val="73662848"/>
        <c:crosses val="autoZero"/>
        <c:auto val="1"/>
        <c:lblOffset val="100"/>
        <c:baseTimeUnit val="months"/>
      </c:dateAx>
      <c:valAx>
        <c:axId val="736628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 (monthly) &amp;</a:t>
                </a:r>
                <a:r>
                  <a:rPr lang="en-US" baseline="0"/>
                  <a:t> </a:t>
                </a:r>
                <a:r>
                  <a:rPr lang="en-US" baseline="0">
                    <a:solidFill>
                      <a:srgbClr val="FF0000"/>
                    </a:solidFill>
                  </a:rPr>
                  <a:t>HDD (65F)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</c:title>
        <c:numFmt formatCode="0" sourceLinked="1"/>
        <c:tickLblPos val="nextTo"/>
        <c:crossAx val="73634944"/>
        <c:crosses val="autoZero"/>
        <c:crossBetween val="between"/>
        <c:majorUnit val="200"/>
      </c:valAx>
      <c:valAx>
        <c:axId val="73665152"/>
        <c:scaling>
          <c:orientation val="minMax"/>
          <c:min val="-10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chemeClr val="accent1"/>
                    </a:solidFill>
                  </a:rPr>
                  <a:t>CDD (65 F)</a:t>
                </a:r>
              </a:p>
            </c:rich>
          </c:tx>
          <c:spPr>
            <a:noFill/>
            <a:ln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75398144"/>
        <c:crosses val="max"/>
        <c:crossBetween val="between"/>
        <c:majorUnit val="20"/>
      </c:valAx>
      <c:dateAx>
        <c:axId val="75398144"/>
        <c:scaling>
          <c:orientation val="minMax"/>
        </c:scaling>
        <c:delete val="1"/>
        <c:axPos val="b"/>
        <c:numFmt formatCode="mmm-yy" sourceLinked="1"/>
        <c:tickLblPos val="none"/>
        <c:crossAx val="73665152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1730912223168613"/>
          <c:y val="0.82399778974995885"/>
          <c:w val="0.79247134733158464"/>
          <c:h val="0.11129410139522111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488" l="0.70000000000000162" r="0.70000000000000162" t="0.7500000000000048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198840769903749"/>
          <c:y val="4.6770924467774859E-2"/>
          <c:w val="0.73187960700314891"/>
          <c:h val="0.640608413531643"/>
        </c:manualLayout>
      </c:layout>
      <c:barChart>
        <c:barDir val="col"/>
        <c:grouping val="clustered"/>
        <c:ser>
          <c:idx val="0"/>
          <c:order val="0"/>
          <c:tx>
            <c:v>Source MMBtu</c:v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cat>
            <c:numRef>
              <c:f>'Energy Use'!$J$26:$J$31</c:f>
              <c:numCache>
                <c:formatCode>mmm-yy</c:formatCode>
                <c:ptCount val="6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</c:numCache>
            </c:numRef>
          </c:cat>
          <c:val>
            <c:numRef>
              <c:f>'Energy Use'!$AA$26:$AA$31</c:f>
              <c:numCache>
                <c:formatCode>0.00</c:formatCode>
                <c:ptCount val="6"/>
                <c:pt idx="0">
                  <c:v>23.735790179999999</c:v>
                </c:pt>
                <c:pt idx="1">
                  <c:v>22.872054220000003</c:v>
                </c:pt>
                <c:pt idx="2">
                  <c:v>13.63760444</c:v>
                </c:pt>
                <c:pt idx="3">
                  <c:v>12.26474644</c:v>
                </c:pt>
                <c:pt idx="4">
                  <c:v>12.9141548</c:v>
                </c:pt>
                <c:pt idx="5">
                  <c:v>17.823094380000001</c:v>
                </c:pt>
              </c:numCache>
            </c:numRef>
          </c:val>
        </c:ser>
        <c:axId val="91769088"/>
        <c:axId val="91857280"/>
      </c:barChart>
      <c:lineChart>
        <c:grouping val="standard"/>
        <c:ser>
          <c:idx val="1"/>
          <c:order val="1"/>
          <c:tx>
            <c:v>HDD</c:v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</c:spPr>
          </c:marker>
          <c:val>
            <c:numRef>
              <c:f>HDD!$B$33:$B$38</c:f>
              <c:numCache>
                <c:formatCode>General</c:formatCode>
                <c:ptCount val="6"/>
                <c:pt idx="0">
                  <c:v>895</c:v>
                </c:pt>
                <c:pt idx="1">
                  <c:v>652</c:v>
                </c:pt>
                <c:pt idx="2">
                  <c:v>463</c:v>
                </c:pt>
                <c:pt idx="3">
                  <c:v>208</c:v>
                </c:pt>
                <c:pt idx="4">
                  <c:v>121</c:v>
                </c:pt>
                <c:pt idx="5">
                  <c:v>22</c:v>
                </c:pt>
              </c:numCache>
            </c:numRef>
          </c:val>
        </c:ser>
        <c:ser>
          <c:idx val="2"/>
          <c:order val="2"/>
          <c:tx>
            <c:v>CDD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CDD!$B$26:$B$31</c:f>
              <c:numCache>
                <c:formatCode>General</c:formatCode>
                <c:ptCount val="6"/>
                <c:pt idx="0">
                  <c:v>0</c:v>
                </c:pt>
                <c:pt idx="1">
                  <c:v>23</c:v>
                </c:pt>
                <c:pt idx="2">
                  <c:v>26</c:v>
                </c:pt>
                <c:pt idx="3">
                  <c:v>60</c:v>
                </c:pt>
                <c:pt idx="4">
                  <c:v>128</c:v>
                </c:pt>
                <c:pt idx="5">
                  <c:v>291</c:v>
                </c:pt>
              </c:numCache>
            </c:numRef>
          </c:val>
        </c:ser>
        <c:marker val="1"/>
        <c:axId val="92680192"/>
        <c:axId val="91859200"/>
      </c:lineChart>
      <c:dateAx>
        <c:axId val="91769088"/>
        <c:scaling>
          <c:orientation val="minMax"/>
        </c:scaling>
        <c:axPos val="b"/>
        <c:numFmt formatCode="mmm-yy" sourceLinked="1"/>
        <c:tickLblPos val="nextTo"/>
        <c:crossAx val="91857280"/>
        <c:crosses val="autoZero"/>
        <c:auto val="1"/>
        <c:lblOffset val="100"/>
      </c:dateAx>
      <c:valAx>
        <c:axId val="91857280"/>
        <c:scaling>
          <c:orientation val="minMax"/>
        </c:scaling>
        <c:axPos val="l"/>
        <c:majorGridlines/>
        <c:numFmt formatCode="0" sourceLinked="0"/>
        <c:tickLblPos val="nextTo"/>
        <c:crossAx val="91769088"/>
        <c:crosses val="autoZero"/>
        <c:crossBetween val="between"/>
      </c:valAx>
      <c:valAx>
        <c:axId val="91859200"/>
        <c:scaling>
          <c:orientation val="minMax"/>
        </c:scaling>
        <c:axPos val="r"/>
        <c:numFmt formatCode="General" sourceLinked="1"/>
        <c:tickLblPos val="nextTo"/>
        <c:crossAx val="92680192"/>
        <c:crosses val="max"/>
        <c:crossBetween val="between"/>
        <c:majorUnit val="200"/>
      </c:valAx>
      <c:catAx>
        <c:axId val="92680192"/>
        <c:scaling>
          <c:orientation val="minMax"/>
        </c:scaling>
        <c:delete val="1"/>
        <c:axPos val="b"/>
        <c:tickLblPos val="none"/>
        <c:crossAx val="91859200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v>Natural gas energy use vs HDD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'Weather Lin Regr Analysis'!$G$15:$G$20</c:f>
              <c:numCache>
                <c:formatCode>General</c:formatCode>
                <c:ptCount val="6"/>
                <c:pt idx="0">
                  <c:v>895</c:v>
                </c:pt>
                <c:pt idx="1">
                  <c:v>652</c:v>
                </c:pt>
                <c:pt idx="2">
                  <c:v>463</c:v>
                </c:pt>
                <c:pt idx="3">
                  <c:v>208</c:v>
                </c:pt>
                <c:pt idx="4">
                  <c:v>121</c:v>
                </c:pt>
                <c:pt idx="5">
                  <c:v>22</c:v>
                </c:pt>
              </c:numCache>
            </c:numRef>
          </c:xVal>
          <c:yVal>
            <c:numRef>
              <c:f>'Weather Lin Regr Analysis'!$E$15:$E$20</c:f>
              <c:numCache>
                <c:formatCode>0.00</c:formatCode>
                <c:ptCount val="6"/>
                <c:pt idx="0">
                  <c:v>13.100000000000001</c:v>
                </c:pt>
                <c:pt idx="1">
                  <c:v>11.600000000000001</c:v>
                </c:pt>
                <c:pt idx="2">
                  <c:v>5.6000000000000005</c:v>
                </c:pt>
                <c:pt idx="3">
                  <c:v>3.2</c:v>
                </c:pt>
                <c:pt idx="4">
                  <c:v>2.1</c:v>
                </c:pt>
                <c:pt idx="5">
                  <c:v>1.9000000000000001</c:v>
                </c:pt>
              </c:numCache>
            </c:numRef>
          </c:yVal>
        </c:ser>
        <c:axId val="95525120"/>
        <c:axId val="100973568"/>
      </c:scatterChart>
      <c:valAx>
        <c:axId val="95525120"/>
        <c:scaling>
          <c:orientation val="minMax"/>
        </c:scaling>
        <c:axPos val="b"/>
        <c:numFmt formatCode="General" sourceLinked="1"/>
        <c:tickLblPos val="nextTo"/>
        <c:crossAx val="100973568"/>
        <c:crosses val="autoZero"/>
        <c:crossBetween val="midCat"/>
      </c:valAx>
      <c:valAx>
        <c:axId val="100973568"/>
        <c:scaling>
          <c:orientation val="minMax"/>
        </c:scaling>
        <c:axPos val="l"/>
        <c:majorGridlines/>
        <c:numFmt formatCode="0.00" sourceLinked="1"/>
        <c:tickLblPos val="nextTo"/>
        <c:crossAx val="9552512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89" l="0.70000000000000162" r="0.700000000000001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62</xdr:row>
      <xdr:rowOff>19050</xdr:rowOff>
    </xdr:from>
    <xdr:to>
      <xdr:col>17</xdr:col>
      <xdr:colOff>200025</xdr:colOff>
      <xdr:row>76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3</xdr:row>
      <xdr:rowOff>175260</xdr:rowOff>
    </xdr:from>
    <xdr:to>
      <xdr:col>15</xdr:col>
      <xdr:colOff>213360</xdr:colOff>
      <xdr:row>26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2</xdr:row>
      <xdr:rowOff>160020</xdr:rowOff>
    </xdr:from>
    <xdr:to>
      <xdr:col>17</xdr:col>
      <xdr:colOff>548640</xdr:colOff>
      <xdr:row>29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0.89441</cdr:x>
      <cdr:y>0.58903</cdr:y>
    </cdr:from>
    <cdr:to>
      <cdr:x>0.94444</cdr:x>
      <cdr:y>0.81851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631065" y="2221776"/>
          <a:ext cx="259045" cy="865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40</xdr:row>
      <xdr:rowOff>9525</xdr:rowOff>
    </xdr:from>
    <xdr:to>
      <xdr:col>17</xdr:col>
      <xdr:colOff>104775</xdr:colOff>
      <xdr:row>54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0.01149</cdr:x>
      <cdr:y>0</cdr:y>
    </cdr:from>
    <cdr:to>
      <cdr:x>0.06513</cdr:x>
      <cdr:y>0.71007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783431" y="840581"/>
          <a:ext cx="1947863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Source Energy </a:t>
          </a:r>
          <a:r>
            <a:rPr lang="en-US" sz="1000" b="1" baseline="0"/>
            <a:t> MMBtu (monthly)</a:t>
          </a:r>
          <a:endParaRPr lang="en-US" sz="1000" b="1"/>
        </a:p>
      </cdr:txBody>
    </cdr:sp>
  </cdr:relSizeAnchor>
  <cdr:relSizeAnchor xmlns:cdr="http://schemas.openxmlformats.org/drawingml/2006/chartDrawing">
    <cdr:from>
      <cdr:x>0.92529</cdr:x>
      <cdr:y>0.09722</cdr:y>
    </cdr:from>
    <cdr:to>
      <cdr:x>0.98084</cdr:x>
      <cdr:y>0.55382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4112419" y="754856"/>
          <a:ext cx="1252537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HDD</a:t>
          </a:r>
          <a:r>
            <a:rPr lang="en-US" sz="1000" b="1" baseline="0"/>
            <a:t> &amp; CDD (65F)</a:t>
          </a:r>
          <a:endParaRPr lang="en-US" sz="10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26</xdr:row>
      <xdr:rowOff>95250</xdr:rowOff>
    </xdr:from>
    <xdr:to>
      <xdr:col>10</xdr:col>
      <xdr:colOff>180975</xdr:colOff>
      <xdr:row>40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82"/>
  <sheetViews>
    <sheetView topLeftCell="A36" workbookViewId="0">
      <selection activeCell="P57" sqref="P57"/>
    </sheetView>
  </sheetViews>
  <sheetFormatPr defaultColWidth="8.85546875" defaultRowHeight="15"/>
  <cols>
    <col min="1" max="14" width="8.85546875" style="8"/>
    <col min="15" max="15" width="10.42578125" style="8" customWidth="1"/>
    <col min="16" max="16" width="10.28515625" style="8" customWidth="1"/>
    <col min="17" max="17" width="8.85546875" style="8"/>
    <col min="18" max="20" width="10.28515625" style="8" customWidth="1"/>
    <col min="21" max="22" width="8.85546875" style="8"/>
    <col min="23" max="23" width="11.140625" style="8" customWidth="1"/>
    <col min="24" max="24" width="10.28515625" style="8" customWidth="1"/>
    <col min="25" max="16384" width="8.85546875" style="8"/>
  </cols>
  <sheetData>
    <row r="2" spans="1:22">
      <c r="B2" s="8" t="s">
        <v>43</v>
      </c>
      <c r="E2" s="10"/>
    </row>
    <row r="3" spans="1:22">
      <c r="B3" s="8" t="s">
        <v>40</v>
      </c>
    </row>
    <row r="5" spans="1:22">
      <c r="J5" s="89"/>
      <c r="K5" s="89"/>
      <c r="O5" s="53">
        <v>40060</v>
      </c>
      <c r="P5" s="53">
        <v>40092</v>
      </c>
      <c r="Q5" s="54">
        <v>32</v>
      </c>
      <c r="R5" s="54">
        <v>41</v>
      </c>
      <c r="S5" s="53">
        <v>40077</v>
      </c>
      <c r="T5" s="53">
        <v>40105</v>
      </c>
      <c r="U5" s="54">
        <v>545</v>
      </c>
      <c r="V5" s="54">
        <v>0</v>
      </c>
    </row>
    <row r="6" spans="1:22">
      <c r="A6" s="8" t="s">
        <v>47</v>
      </c>
      <c r="O6" s="53">
        <v>40092</v>
      </c>
      <c r="P6" s="53">
        <v>40121</v>
      </c>
      <c r="Q6" s="54">
        <v>29</v>
      </c>
      <c r="R6" s="54">
        <v>89</v>
      </c>
      <c r="S6" s="53">
        <v>40105</v>
      </c>
      <c r="T6" s="53">
        <v>40134</v>
      </c>
      <c r="U6" s="54">
        <v>595</v>
      </c>
      <c r="V6" s="54">
        <v>0</v>
      </c>
    </row>
    <row r="7" spans="1:22">
      <c r="A7" s="8" t="s">
        <v>37</v>
      </c>
      <c r="B7" s="8" t="s">
        <v>36</v>
      </c>
      <c r="C7" s="8" t="s">
        <v>44</v>
      </c>
      <c r="I7" s="8" t="s">
        <v>48</v>
      </c>
      <c r="O7" s="53">
        <v>40121</v>
      </c>
      <c r="P7" s="53">
        <v>40150</v>
      </c>
      <c r="Q7" s="54">
        <v>29</v>
      </c>
      <c r="R7" s="54">
        <v>116</v>
      </c>
      <c r="S7" s="53">
        <v>40134</v>
      </c>
      <c r="T7" s="53">
        <v>40164</v>
      </c>
      <c r="U7" s="54">
        <v>682</v>
      </c>
      <c r="V7" s="54">
        <v>0</v>
      </c>
    </row>
    <row r="8" spans="1:22">
      <c r="I8" s="8" t="s">
        <v>50</v>
      </c>
      <c r="J8" s="8" t="s">
        <v>49</v>
      </c>
      <c r="K8" s="8" t="s">
        <v>51</v>
      </c>
      <c r="O8" s="53">
        <v>40150</v>
      </c>
      <c r="P8" s="53">
        <v>40183</v>
      </c>
      <c r="Q8" s="54">
        <v>33</v>
      </c>
      <c r="R8" s="54">
        <v>210</v>
      </c>
      <c r="S8" s="53">
        <v>40164</v>
      </c>
      <c r="T8" s="53">
        <v>40199</v>
      </c>
      <c r="U8" s="54">
        <v>846</v>
      </c>
      <c r="V8" s="54">
        <v>0</v>
      </c>
    </row>
    <row r="9" spans="1:22">
      <c r="A9" s="27">
        <v>40092</v>
      </c>
      <c r="B9" s="28">
        <v>41</v>
      </c>
      <c r="C9" s="13"/>
      <c r="D9" s="1"/>
      <c r="E9" s="13"/>
      <c r="I9" s="20">
        <v>40105</v>
      </c>
      <c r="J9" s="8">
        <v>545</v>
      </c>
      <c r="L9" s="13"/>
      <c r="M9" s="1"/>
      <c r="O9" s="53">
        <v>40183</v>
      </c>
      <c r="P9" s="53">
        <v>40213</v>
      </c>
      <c r="Q9" s="54">
        <v>30</v>
      </c>
      <c r="R9" s="54">
        <v>198</v>
      </c>
      <c r="S9" s="53">
        <v>40199</v>
      </c>
      <c r="T9" s="53">
        <v>40227</v>
      </c>
      <c r="U9" s="54">
        <v>616</v>
      </c>
      <c r="V9" s="54">
        <v>0</v>
      </c>
    </row>
    <row r="10" spans="1:22">
      <c r="A10" s="29">
        <v>40121</v>
      </c>
      <c r="B10" s="30">
        <v>89</v>
      </c>
      <c r="C10" s="13"/>
      <c r="D10" s="1"/>
      <c r="E10" s="13"/>
      <c r="I10" s="22">
        <v>40134</v>
      </c>
      <c r="J10" s="21">
        <v>595</v>
      </c>
      <c r="L10" s="13"/>
      <c r="M10" s="1"/>
      <c r="O10" s="53">
        <v>40213</v>
      </c>
      <c r="P10" s="53">
        <v>40242</v>
      </c>
      <c r="Q10" s="54">
        <v>29</v>
      </c>
      <c r="R10" s="54">
        <v>673</v>
      </c>
      <c r="S10" s="53">
        <v>40227</v>
      </c>
      <c r="T10" s="53">
        <v>40259</v>
      </c>
      <c r="U10" s="54">
        <v>737</v>
      </c>
      <c r="V10" s="54">
        <v>0</v>
      </c>
    </row>
    <row r="11" spans="1:22">
      <c r="A11" s="29">
        <v>40150</v>
      </c>
      <c r="B11" s="30">
        <v>116</v>
      </c>
      <c r="C11" s="13"/>
      <c r="D11" s="1"/>
      <c r="E11" s="13"/>
      <c r="I11" s="22">
        <v>40164</v>
      </c>
      <c r="J11" s="23">
        <v>682</v>
      </c>
      <c r="L11" s="13"/>
      <c r="M11" s="1"/>
      <c r="O11" s="53">
        <v>40242</v>
      </c>
      <c r="P11" s="53">
        <v>40277</v>
      </c>
      <c r="Q11" s="54">
        <v>35</v>
      </c>
      <c r="R11" s="54">
        <v>119</v>
      </c>
      <c r="S11" s="53">
        <v>40259</v>
      </c>
      <c r="T11" s="53">
        <v>40289</v>
      </c>
      <c r="U11" s="54">
        <v>597</v>
      </c>
      <c r="V11" s="54">
        <v>0</v>
      </c>
    </row>
    <row r="12" spans="1:22">
      <c r="A12" s="29">
        <v>40183</v>
      </c>
      <c r="B12" s="30">
        <v>210</v>
      </c>
      <c r="C12" s="13"/>
      <c r="D12" s="1"/>
      <c r="E12" s="13"/>
      <c r="I12" s="22">
        <v>40199</v>
      </c>
      <c r="J12" s="23">
        <v>846</v>
      </c>
      <c r="L12" s="13"/>
      <c r="M12" s="1"/>
      <c r="O12" s="53">
        <v>40277</v>
      </c>
      <c r="P12" s="53">
        <v>40303</v>
      </c>
      <c r="Q12" s="54">
        <v>26</v>
      </c>
      <c r="R12" s="54">
        <v>56</v>
      </c>
      <c r="S12" s="53">
        <v>40289</v>
      </c>
      <c r="T12" s="53">
        <v>40317</v>
      </c>
      <c r="U12" s="54">
        <v>491</v>
      </c>
      <c r="V12" s="54">
        <v>0</v>
      </c>
    </row>
    <row r="13" spans="1:22">
      <c r="A13" s="29">
        <v>40213</v>
      </c>
      <c r="B13" s="30">
        <v>198</v>
      </c>
      <c r="C13" s="13"/>
      <c r="D13" s="1"/>
      <c r="E13" s="13"/>
      <c r="I13" s="22">
        <v>40227</v>
      </c>
      <c r="J13" s="23">
        <v>616</v>
      </c>
      <c r="L13" s="13"/>
      <c r="M13" s="1"/>
      <c r="O13" s="53">
        <v>40303</v>
      </c>
      <c r="P13" s="53">
        <v>40330</v>
      </c>
      <c r="Q13" s="54">
        <v>27</v>
      </c>
      <c r="R13" s="54">
        <v>37</v>
      </c>
      <c r="S13" s="53">
        <v>40317</v>
      </c>
      <c r="T13" s="53">
        <v>40350</v>
      </c>
      <c r="U13" s="55">
        <v>1089</v>
      </c>
      <c r="V13" s="54">
        <v>0</v>
      </c>
    </row>
    <row r="14" spans="1:22">
      <c r="A14" s="29">
        <v>40242</v>
      </c>
      <c r="B14" s="30">
        <v>673</v>
      </c>
      <c r="C14" s="13"/>
      <c r="D14" s="1"/>
      <c r="E14" s="13"/>
      <c r="I14" s="22">
        <v>40259</v>
      </c>
      <c r="J14" s="23">
        <v>737</v>
      </c>
      <c r="L14" s="13"/>
      <c r="M14" s="1"/>
      <c r="O14" s="53">
        <v>40330</v>
      </c>
      <c r="P14" s="53">
        <v>40380</v>
      </c>
      <c r="Q14" s="54">
        <v>50</v>
      </c>
      <c r="R14" s="54">
        <v>54</v>
      </c>
      <c r="S14" s="53">
        <v>40350</v>
      </c>
      <c r="T14" s="53">
        <v>40380</v>
      </c>
      <c r="U14" s="55">
        <v>1528</v>
      </c>
      <c r="V14" s="54">
        <v>0</v>
      </c>
    </row>
    <row r="15" spans="1:22">
      <c r="A15" s="29">
        <v>40277</v>
      </c>
      <c r="B15" s="30">
        <v>119</v>
      </c>
      <c r="C15" s="13"/>
      <c r="D15" s="1"/>
      <c r="E15" s="13"/>
      <c r="I15" s="22">
        <v>40289</v>
      </c>
      <c r="J15" s="23">
        <v>597</v>
      </c>
      <c r="L15" s="13"/>
      <c r="M15" s="1"/>
      <c r="O15" s="53">
        <v>40380</v>
      </c>
      <c r="P15" s="53">
        <v>40410</v>
      </c>
      <c r="Q15" s="54">
        <v>30</v>
      </c>
      <c r="R15" s="54">
        <v>33</v>
      </c>
      <c r="S15" s="53">
        <v>40380</v>
      </c>
      <c r="T15" s="53">
        <v>40410</v>
      </c>
      <c r="U15" s="55">
        <v>1175</v>
      </c>
      <c r="V15" s="54">
        <v>0</v>
      </c>
    </row>
    <row r="16" spans="1:22">
      <c r="A16" s="29">
        <v>40303</v>
      </c>
      <c r="B16" s="30">
        <v>56</v>
      </c>
      <c r="C16" s="13"/>
      <c r="D16" s="1"/>
      <c r="E16" s="13"/>
      <c r="I16" s="22">
        <v>40317</v>
      </c>
      <c r="J16" s="23">
        <v>491</v>
      </c>
      <c r="L16" s="13"/>
      <c r="M16" s="1"/>
      <c r="O16" s="53">
        <v>40410</v>
      </c>
      <c r="P16" s="53">
        <v>40443</v>
      </c>
      <c r="Q16" s="54">
        <v>33</v>
      </c>
      <c r="R16" s="54">
        <v>34</v>
      </c>
      <c r="S16" s="53">
        <v>40410</v>
      </c>
      <c r="T16" s="53">
        <v>40441</v>
      </c>
      <c r="U16" s="54">
        <v>835</v>
      </c>
      <c r="V16" s="54">
        <v>0</v>
      </c>
    </row>
    <row r="17" spans="1:24">
      <c r="A17" s="29">
        <v>40330</v>
      </c>
      <c r="B17" s="30">
        <v>37</v>
      </c>
      <c r="C17" s="13"/>
      <c r="D17" s="1"/>
      <c r="E17" s="13"/>
      <c r="I17" s="22">
        <v>40350</v>
      </c>
      <c r="J17" s="23">
        <v>1089</v>
      </c>
      <c r="L17" s="13"/>
      <c r="M17" s="1"/>
      <c r="O17" s="53">
        <v>40443</v>
      </c>
      <c r="P17" s="53">
        <v>40470</v>
      </c>
      <c r="Q17" s="54">
        <v>27</v>
      </c>
      <c r="R17" s="54">
        <v>47</v>
      </c>
      <c r="S17" s="53">
        <v>40441</v>
      </c>
      <c r="T17" s="53">
        <v>40470</v>
      </c>
      <c r="U17" s="54">
        <v>578</v>
      </c>
      <c r="V17" s="54">
        <v>0</v>
      </c>
    </row>
    <row r="18" spans="1:24">
      <c r="A18" s="29">
        <v>40380</v>
      </c>
      <c r="B18" s="30">
        <v>54</v>
      </c>
      <c r="C18" s="13"/>
      <c r="D18" s="1"/>
      <c r="E18" s="13"/>
      <c r="I18" s="22">
        <v>40380</v>
      </c>
      <c r="J18" s="23">
        <v>1528</v>
      </c>
      <c r="L18" s="13"/>
      <c r="M18" s="1"/>
      <c r="O18" s="53">
        <v>40470</v>
      </c>
      <c r="P18" s="53">
        <v>40500</v>
      </c>
      <c r="Q18" s="54">
        <v>30</v>
      </c>
      <c r="R18" s="54">
        <v>105</v>
      </c>
      <c r="S18" s="53">
        <v>40470</v>
      </c>
      <c r="T18" s="53">
        <v>40499</v>
      </c>
      <c r="U18" s="54">
        <v>592</v>
      </c>
      <c r="V18" s="54">
        <v>0</v>
      </c>
    </row>
    <row r="19" spans="1:24">
      <c r="A19" s="29">
        <v>40410</v>
      </c>
      <c r="B19" s="30">
        <v>33</v>
      </c>
      <c r="C19" s="13"/>
      <c r="D19" s="1"/>
      <c r="E19" s="13"/>
      <c r="I19" s="22">
        <v>40410</v>
      </c>
      <c r="J19" s="23">
        <v>1175</v>
      </c>
      <c r="L19" s="13"/>
      <c r="M19" s="1"/>
      <c r="O19" s="53">
        <v>40500</v>
      </c>
      <c r="P19" s="53">
        <v>40532</v>
      </c>
      <c r="Q19" s="54">
        <v>32</v>
      </c>
      <c r="R19" s="54">
        <v>195</v>
      </c>
      <c r="S19" s="53">
        <v>40499</v>
      </c>
      <c r="T19" s="53">
        <v>40529</v>
      </c>
      <c r="U19" s="54">
        <v>679</v>
      </c>
      <c r="V19" s="54">
        <v>0</v>
      </c>
    </row>
    <row r="20" spans="1:24">
      <c r="A20" s="29">
        <v>40443</v>
      </c>
      <c r="B20" s="30">
        <v>34</v>
      </c>
      <c r="C20" s="13"/>
      <c r="D20" s="1"/>
      <c r="E20" s="13"/>
      <c r="I20" s="22">
        <v>40441</v>
      </c>
      <c r="J20" s="23">
        <v>835</v>
      </c>
      <c r="L20" s="13"/>
      <c r="M20" s="1"/>
      <c r="O20" s="53">
        <v>40532</v>
      </c>
      <c r="P20" s="53">
        <v>40564</v>
      </c>
      <c r="Q20" s="54">
        <v>32</v>
      </c>
      <c r="R20" s="54">
        <v>232</v>
      </c>
      <c r="S20" s="53">
        <v>40529</v>
      </c>
      <c r="T20" s="53">
        <v>40564</v>
      </c>
      <c r="U20" s="54">
        <v>857</v>
      </c>
      <c r="V20" s="54">
        <v>0</v>
      </c>
    </row>
    <row r="21" spans="1:24">
      <c r="A21" s="29">
        <v>40470</v>
      </c>
      <c r="B21" s="30">
        <v>47</v>
      </c>
      <c r="C21" s="13"/>
      <c r="D21" s="1"/>
      <c r="E21" s="13"/>
      <c r="F21" s="13"/>
      <c r="G21" s="13"/>
      <c r="I21" s="22">
        <v>40470</v>
      </c>
      <c r="J21" s="23">
        <v>578</v>
      </c>
      <c r="L21" s="13"/>
      <c r="M21" s="1"/>
      <c r="O21" s="53">
        <v>40564</v>
      </c>
      <c r="P21" s="53">
        <v>40590</v>
      </c>
      <c r="Q21" s="54">
        <v>26</v>
      </c>
      <c r="R21" s="54">
        <v>192</v>
      </c>
      <c r="S21" s="53">
        <v>40564</v>
      </c>
      <c r="T21" s="53">
        <v>40590</v>
      </c>
      <c r="U21" s="54">
        <v>614</v>
      </c>
      <c r="V21" s="54">
        <v>0</v>
      </c>
    </row>
    <row r="22" spans="1:24">
      <c r="A22" s="29">
        <v>40500</v>
      </c>
      <c r="B22" s="30">
        <v>105</v>
      </c>
      <c r="C22" s="13"/>
      <c r="D22" s="1"/>
      <c r="E22" s="13"/>
      <c r="I22" s="22">
        <v>40499</v>
      </c>
      <c r="J22" s="23">
        <v>592</v>
      </c>
      <c r="L22" s="13"/>
      <c r="M22" s="1"/>
      <c r="O22" s="53">
        <v>40590</v>
      </c>
      <c r="P22" s="53">
        <v>40620</v>
      </c>
      <c r="Q22" s="54">
        <v>30</v>
      </c>
      <c r="R22" s="54">
        <v>181</v>
      </c>
      <c r="S22" s="53">
        <v>40590</v>
      </c>
      <c r="T22" s="53">
        <v>40620</v>
      </c>
      <c r="U22" s="54">
        <v>630</v>
      </c>
      <c r="V22" s="54">
        <v>0</v>
      </c>
    </row>
    <row r="23" spans="1:24">
      <c r="A23" s="29">
        <v>40532</v>
      </c>
      <c r="B23" s="30">
        <v>195</v>
      </c>
      <c r="C23" s="13">
        <f>+SUM(B12:B23)</f>
        <v>1761</v>
      </c>
      <c r="D23" s="1" t="s">
        <v>46</v>
      </c>
      <c r="E23" s="13"/>
      <c r="I23" s="22">
        <v>40529</v>
      </c>
      <c r="J23" s="23">
        <v>679</v>
      </c>
      <c r="K23" s="8">
        <f>SUM(J12:J23)</f>
        <v>9763</v>
      </c>
      <c r="L23" s="13" t="s">
        <v>53</v>
      </c>
      <c r="M23" s="1"/>
      <c r="O23" s="53">
        <v>40620</v>
      </c>
      <c r="P23" s="53">
        <v>40654</v>
      </c>
      <c r="Q23" s="54">
        <v>34</v>
      </c>
      <c r="R23" s="54">
        <v>138</v>
      </c>
      <c r="S23" s="53">
        <v>40620</v>
      </c>
      <c r="T23" s="53">
        <v>40654</v>
      </c>
      <c r="U23" s="54">
        <v>692</v>
      </c>
      <c r="V23" s="54">
        <v>0</v>
      </c>
    </row>
    <row r="24" spans="1:24">
      <c r="A24" s="29">
        <v>40564</v>
      </c>
      <c r="B24" s="30">
        <v>232</v>
      </c>
      <c r="C24" s="13"/>
      <c r="D24" s="1"/>
      <c r="E24" s="13"/>
      <c r="I24" s="22">
        <v>40564</v>
      </c>
      <c r="J24" s="23">
        <v>857</v>
      </c>
      <c r="L24" s="13"/>
      <c r="M24" s="1"/>
      <c r="O24" s="53">
        <v>40654</v>
      </c>
      <c r="P24" s="53">
        <v>40681</v>
      </c>
      <c r="Q24" s="54">
        <v>27</v>
      </c>
      <c r="R24" s="54">
        <v>49</v>
      </c>
      <c r="S24" s="53">
        <v>40654</v>
      </c>
      <c r="T24" s="53">
        <v>40681</v>
      </c>
      <c r="U24" s="54">
        <v>547</v>
      </c>
      <c r="V24" s="54">
        <v>0</v>
      </c>
    </row>
    <row r="25" spans="1:24">
      <c r="A25" s="29">
        <v>40590</v>
      </c>
      <c r="B25" s="30">
        <v>192</v>
      </c>
      <c r="C25" s="13"/>
      <c r="D25" s="1"/>
      <c r="E25" s="13"/>
      <c r="I25" s="22">
        <v>40590</v>
      </c>
      <c r="J25" s="23">
        <v>614</v>
      </c>
      <c r="L25" s="13"/>
      <c r="M25" s="1"/>
      <c r="O25" s="53">
        <v>40681</v>
      </c>
      <c r="P25" s="53">
        <v>40715</v>
      </c>
      <c r="Q25" s="54">
        <v>34</v>
      </c>
      <c r="R25" s="54">
        <v>22</v>
      </c>
      <c r="S25" s="53">
        <v>40681</v>
      </c>
      <c r="T25" s="53">
        <v>40715</v>
      </c>
      <c r="U25" s="54">
        <v>543</v>
      </c>
      <c r="V25" s="54">
        <v>0</v>
      </c>
    </row>
    <row r="26" spans="1:24">
      <c r="A26" s="31">
        <v>40620</v>
      </c>
      <c r="B26" s="32">
        <v>181</v>
      </c>
      <c r="C26" s="13"/>
      <c r="D26" s="1"/>
      <c r="E26" s="13"/>
      <c r="I26" s="24">
        <v>40620</v>
      </c>
      <c r="J26" s="23">
        <v>630</v>
      </c>
      <c r="L26" s="13"/>
      <c r="M26" s="1"/>
      <c r="O26" s="13"/>
    </row>
    <row r="27" spans="1:24">
      <c r="A27" s="31">
        <v>40654</v>
      </c>
      <c r="B27" s="23">
        <v>138</v>
      </c>
      <c r="C27" s="13">
        <f>SUM(B16:B27)</f>
        <v>1304</v>
      </c>
      <c r="D27" s="8" t="s">
        <v>45</v>
      </c>
      <c r="I27" s="1">
        <v>40654</v>
      </c>
      <c r="J27" s="25">
        <v>692</v>
      </c>
      <c r="K27" s="8">
        <f>SUM(J16:J27)</f>
        <v>9760</v>
      </c>
      <c r="L27" s="13" t="s">
        <v>52</v>
      </c>
      <c r="M27" s="1"/>
      <c r="O27" s="13"/>
    </row>
    <row r="28" spans="1:24">
      <c r="A28" s="1"/>
      <c r="B28" s="8">
        <f>SUM(B10:B26)</f>
        <v>2571</v>
      </c>
      <c r="E28" s="13"/>
      <c r="F28" s="13"/>
      <c r="G28" s="13"/>
    </row>
    <row r="29" spans="1:24">
      <c r="A29" s="1"/>
    </row>
    <row r="30" spans="1:24">
      <c r="A30" s="1"/>
    </row>
    <row r="31" spans="1:24">
      <c r="A31" s="27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28"/>
    </row>
    <row r="32" spans="1:24">
      <c r="A32" s="46"/>
      <c r="B32" s="19"/>
      <c r="C32" s="19" t="s">
        <v>26</v>
      </c>
      <c r="D32" s="19"/>
      <c r="E32" s="39">
        <f>1/E34</f>
        <v>292.99736302373282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30"/>
    </row>
    <row r="33" spans="1:24">
      <c r="A33" s="46"/>
      <c r="B33" s="19"/>
      <c r="C33" s="19" t="s">
        <v>23</v>
      </c>
      <c r="D33" s="19"/>
      <c r="E33" s="49">
        <f>100000/1000000</f>
        <v>0.1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30"/>
    </row>
    <row r="34" spans="1:24">
      <c r="A34" s="46"/>
      <c r="B34" s="19"/>
      <c r="C34" s="19" t="s">
        <v>22</v>
      </c>
      <c r="D34" s="19"/>
      <c r="E34" s="19">
        <f>3413/1000000</f>
        <v>3.4129999999999998E-3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30"/>
    </row>
    <row r="35" spans="1:24">
      <c r="A35" s="46"/>
      <c r="B35" s="19" t="s">
        <v>25</v>
      </c>
      <c r="C35" s="19"/>
      <c r="D35" s="19"/>
      <c r="E35" s="19">
        <v>3.34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30"/>
    </row>
    <row r="36" spans="1:24">
      <c r="A36" s="46"/>
      <c r="B36" s="19" t="s">
        <v>24</v>
      </c>
      <c r="C36" s="19"/>
      <c r="D36" s="19"/>
      <c r="E36" s="19">
        <v>1.0469999999999999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30"/>
    </row>
    <row r="37" spans="1:24">
      <c r="A37" s="50"/>
      <c r="B37" s="3"/>
      <c r="C37" s="3" t="s">
        <v>57</v>
      </c>
      <c r="D37" s="3"/>
      <c r="E37" s="3"/>
      <c r="F37" s="3"/>
      <c r="G37" s="3"/>
      <c r="H37" s="3"/>
      <c r="I37" s="3"/>
      <c r="J37" s="90" t="s">
        <v>2</v>
      </c>
      <c r="K37" s="90"/>
      <c r="L37" s="3" t="s">
        <v>28</v>
      </c>
      <c r="M37" s="3"/>
      <c r="N37" s="3" t="s">
        <v>19</v>
      </c>
      <c r="O37" s="3" t="s">
        <v>20</v>
      </c>
      <c r="P37" s="3"/>
      <c r="Q37" s="3"/>
      <c r="R37" s="3"/>
      <c r="S37" s="3" t="s">
        <v>58</v>
      </c>
      <c r="T37" s="3"/>
      <c r="U37" s="3"/>
      <c r="V37" s="3"/>
      <c r="W37" s="3"/>
      <c r="X37" s="23"/>
    </row>
    <row r="38" spans="1:24">
      <c r="A38" s="50"/>
      <c r="B38" s="3"/>
      <c r="C38" s="3" t="s">
        <v>36</v>
      </c>
      <c r="D38" s="3" t="s">
        <v>19</v>
      </c>
      <c r="E38" s="3" t="s">
        <v>20</v>
      </c>
      <c r="F38" s="3"/>
      <c r="G38" s="3" t="s">
        <v>18</v>
      </c>
      <c r="H38" s="3" t="s">
        <v>21</v>
      </c>
      <c r="I38" s="3"/>
      <c r="J38" s="16" t="s">
        <v>18</v>
      </c>
      <c r="K38" s="16"/>
      <c r="L38" s="3"/>
      <c r="M38" s="3"/>
      <c r="N38" s="3"/>
      <c r="O38" s="3"/>
      <c r="P38" s="3" t="s">
        <v>1</v>
      </c>
      <c r="Q38" s="3" t="s">
        <v>6</v>
      </c>
      <c r="R38" s="3"/>
      <c r="S38" s="3" t="s">
        <v>18</v>
      </c>
      <c r="T38" s="3" t="s">
        <v>21</v>
      </c>
      <c r="U38" s="3"/>
      <c r="V38" s="3" t="s">
        <v>19</v>
      </c>
      <c r="W38" s="3" t="s">
        <v>20</v>
      </c>
      <c r="X38" s="23"/>
    </row>
    <row r="39" spans="1:24">
      <c r="A39" s="50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23"/>
    </row>
    <row r="40" spans="1:24">
      <c r="A40" s="50"/>
      <c r="B40" s="29">
        <v>40183</v>
      </c>
      <c r="C40" s="17">
        <f>B12</f>
        <v>210</v>
      </c>
      <c r="D40" s="17">
        <f>C40*E$33</f>
        <v>21</v>
      </c>
      <c r="E40" s="17">
        <f>D40*E$36</f>
        <v>21.986999999999998</v>
      </c>
      <c r="F40" s="3"/>
      <c r="G40" s="17">
        <f>D40*E$32</f>
        <v>6152.9446234983889</v>
      </c>
      <c r="H40" s="17">
        <f>E40*E$32</f>
        <v>6442.133020802813</v>
      </c>
      <c r="I40" s="17"/>
      <c r="J40" s="16">
        <f>J12</f>
        <v>846</v>
      </c>
      <c r="K40" s="16"/>
      <c r="L40" s="3">
        <f>J40*E$35</f>
        <v>2825.64</v>
      </c>
      <c r="M40" s="3"/>
      <c r="N40" s="17">
        <f>J40*E$34</f>
        <v>2.8873979999999997</v>
      </c>
      <c r="O40" s="17">
        <f>L40*E$34</f>
        <v>9.6439093199999988</v>
      </c>
      <c r="P40" s="3">
        <f>HDD!B8</f>
        <v>1191</v>
      </c>
      <c r="Q40" s="3"/>
      <c r="R40" s="3"/>
      <c r="S40" s="17">
        <f>G40+J40</f>
        <v>6998.9446234983889</v>
      </c>
      <c r="T40" s="17">
        <f>H40+L40</f>
        <v>9267.7730208028133</v>
      </c>
      <c r="U40" s="17"/>
      <c r="V40" s="17">
        <f>D40+N40</f>
        <v>23.887398000000001</v>
      </c>
      <c r="W40" s="17">
        <f>E40+O40</f>
        <v>31.630909319999997</v>
      </c>
      <c r="X40" s="23"/>
    </row>
    <row r="41" spans="1:24">
      <c r="A41" s="50"/>
      <c r="B41" s="29">
        <v>40213</v>
      </c>
      <c r="C41" s="17">
        <f t="shared" ref="C41:C55" si="0">B13</f>
        <v>198</v>
      </c>
      <c r="D41" s="17">
        <f t="shared" ref="D41:D55" si="1">C41*E$33</f>
        <v>19.8</v>
      </c>
      <c r="E41" s="17">
        <f t="shared" ref="E41:E55" si="2">D41*E$36</f>
        <v>20.730599999999999</v>
      </c>
      <c r="F41" s="3"/>
      <c r="G41" s="17">
        <f t="shared" ref="G41:G51" si="3">D41*E$32</f>
        <v>5801.3477878699096</v>
      </c>
      <c r="H41" s="17">
        <f t="shared" ref="H41:H51" si="4">E41*E$32</f>
        <v>6074.0111338997949</v>
      </c>
      <c r="I41" s="17"/>
      <c r="J41" s="16">
        <f t="shared" ref="J41:J55" si="5">J13</f>
        <v>616</v>
      </c>
      <c r="K41" s="16"/>
      <c r="L41" s="3">
        <f t="shared" ref="L41:L51" si="6">J41*E$35</f>
        <v>2057.44</v>
      </c>
      <c r="M41" s="3"/>
      <c r="N41" s="17">
        <f t="shared" ref="N41:N51" si="7">J41*E$34</f>
        <v>2.1024080000000001</v>
      </c>
      <c r="O41" s="17">
        <f t="shared" ref="O41:O51" si="8">L41*E$34</f>
        <v>7.02204272</v>
      </c>
      <c r="P41" s="3">
        <f>HDD!B9</f>
        <v>964</v>
      </c>
      <c r="Q41" s="3"/>
      <c r="R41" s="3"/>
      <c r="S41" s="17">
        <f t="shared" ref="S41:S51" si="9">G41+J41</f>
        <v>6417.3477878699096</v>
      </c>
      <c r="T41" s="17">
        <f t="shared" ref="T41:T51" si="10">H41+L41</f>
        <v>8131.4511338997945</v>
      </c>
      <c r="U41" s="17"/>
      <c r="V41" s="17">
        <f t="shared" ref="V41:V51" si="11">D41+N41</f>
        <v>21.902408000000001</v>
      </c>
      <c r="W41" s="17">
        <f t="shared" ref="W41:W51" si="12">E41+O41</f>
        <v>27.752642719999997</v>
      </c>
      <c r="X41" s="23"/>
    </row>
    <row r="42" spans="1:24">
      <c r="A42" s="50"/>
      <c r="B42" s="29">
        <v>40242</v>
      </c>
      <c r="C42" s="17">
        <f t="shared" si="0"/>
        <v>673</v>
      </c>
      <c r="D42" s="17">
        <f t="shared" si="1"/>
        <v>67.3</v>
      </c>
      <c r="E42" s="17">
        <f t="shared" si="2"/>
        <v>70.463099999999997</v>
      </c>
      <c r="F42" s="3"/>
      <c r="G42" s="17">
        <f t="shared" si="3"/>
        <v>19718.722531497217</v>
      </c>
      <c r="H42" s="17">
        <f t="shared" si="4"/>
        <v>20645.502490477586</v>
      </c>
      <c r="I42" s="17"/>
      <c r="J42" s="16">
        <f t="shared" si="5"/>
        <v>737</v>
      </c>
      <c r="K42" s="16"/>
      <c r="L42" s="3">
        <f t="shared" si="6"/>
        <v>2461.58</v>
      </c>
      <c r="M42" s="3"/>
      <c r="N42" s="17">
        <f t="shared" si="7"/>
        <v>2.5153809999999996</v>
      </c>
      <c r="O42" s="17">
        <f t="shared" si="8"/>
        <v>8.4013725399999988</v>
      </c>
      <c r="P42" s="3">
        <f>HDD!B10</f>
        <v>706</v>
      </c>
      <c r="Q42" s="3"/>
      <c r="R42" s="3"/>
      <c r="S42" s="17">
        <f t="shared" si="9"/>
        <v>20455.722531497217</v>
      </c>
      <c r="T42" s="17">
        <f t="shared" si="10"/>
        <v>23107.082490477587</v>
      </c>
      <c r="U42" s="17"/>
      <c r="V42" s="17">
        <f t="shared" si="11"/>
        <v>69.815381000000002</v>
      </c>
      <c r="W42" s="17">
        <f t="shared" si="12"/>
        <v>78.864472539999994</v>
      </c>
      <c r="X42" s="23"/>
    </row>
    <row r="43" spans="1:24">
      <c r="A43" s="50"/>
      <c r="B43" s="29">
        <v>40277</v>
      </c>
      <c r="C43" s="17">
        <f t="shared" si="0"/>
        <v>119</v>
      </c>
      <c r="D43" s="17">
        <f t="shared" si="1"/>
        <v>11.9</v>
      </c>
      <c r="E43" s="17">
        <f t="shared" si="2"/>
        <v>12.459299999999999</v>
      </c>
      <c r="F43" s="3"/>
      <c r="G43" s="17">
        <f t="shared" si="3"/>
        <v>3486.6686199824208</v>
      </c>
      <c r="H43" s="17">
        <f t="shared" si="4"/>
        <v>3650.5420451215941</v>
      </c>
      <c r="I43" s="17"/>
      <c r="J43" s="16">
        <f t="shared" si="5"/>
        <v>597</v>
      </c>
      <c r="K43" s="16"/>
      <c r="L43" s="3">
        <f t="shared" si="6"/>
        <v>1993.98</v>
      </c>
      <c r="M43" s="3"/>
      <c r="N43" s="17">
        <f t="shared" si="7"/>
        <v>2.0375609999999997</v>
      </c>
      <c r="O43" s="17">
        <f t="shared" si="8"/>
        <v>6.8054537399999999</v>
      </c>
      <c r="P43" s="3">
        <f>HDD!B11</f>
        <v>427</v>
      </c>
      <c r="Q43" s="3"/>
      <c r="R43" s="3"/>
      <c r="S43" s="17">
        <f t="shared" si="9"/>
        <v>4083.6686199824208</v>
      </c>
      <c r="T43" s="17">
        <f t="shared" si="10"/>
        <v>5644.5220451215937</v>
      </c>
      <c r="U43" s="17"/>
      <c r="V43" s="17">
        <f t="shared" si="11"/>
        <v>13.937561000000001</v>
      </c>
      <c r="W43" s="17">
        <f t="shared" si="12"/>
        <v>19.26475374</v>
      </c>
      <c r="X43" s="23"/>
    </row>
    <row r="44" spans="1:24">
      <c r="A44" s="50"/>
      <c r="B44" s="29">
        <v>40303</v>
      </c>
      <c r="C44" s="17">
        <f t="shared" si="0"/>
        <v>56</v>
      </c>
      <c r="D44" s="17">
        <f t="shared" si="1"/>
        <v>5.6000000000000005</v>
      </c>
      <c r="E44" s="17">
        <f t="shared" si="2"/>
        <v>5.8632</v>
      </c>
      <c r="F44" s="3"/>
      <c r="G44" s="17">
        <f t="shared" si="3"/>
        <v>1640.7852329329039</v>
      </c>
      <c r="H44" s="17">
        <f t="shared" si="4"/>
        <v>1717.9021388807503</v>
      </c>
      <c r="I44" s="17"/>
      <c r="J44" s="16">
        <f t="shared" si="5"/>
        <v>491</v>
      </c>
      <c r="K44" s="16"/>
      <c r="L44" s="3">
        <f t="shared" si="6"/>
        <v>1639.9399999999998</v>
      </c>
      <c r="M44" s="3"/>
      <c r="N44" s="17">
        <f t="shared" si="7"/>
        <v>1.6757829999999998</v>
      </c>
      <c r="O44" s="17">
        <f t="shared" si="8"/>
        <v>5.5971152199999992</v>
      </c>
      <c r="P44" s="3">
        <f>HDD!B12</f>
        <v>209</v>
      </c>
      <c r="Q44" s="3"/>
      <c r="R44" s="3"/>
      <c r="S44" s="17">
        <f t="shared" si="9"/>
        <v>2131.7852329329039</v>
      </c>
      <c r="T44" s="17">
        <f t="shared" si="10"/>
        <v>3357.8421388807501</v>
      </c>
      <c r="U44" s="17"/>
      <c r="V44" s="17">
        <f t="shared" si="11"/>
        <v>7.2757830000000006</v>
      </c>
      <c r="W44" s="17">
        <f t="shared" si="12"/>
        <v>11.460315219999998</v>
      </c>
      <c r="X44" s="23"/>
    </row>
    <row r="45" spans="1:24">
      <c r="A45" s="50"/>
      <c r="B45" s="29">
        <v>40330</v>
      </c>
      <c r="C45" s="17">
        <f t="shared" si="0"/>
        <v>37</v>
      </c>
      <c r="D45" s="17">
        <f t="shared" si="1"/>
        <v>3.7</v>
      </c>
      <c r="E45" s="17">
        <f t="shared" si="2"/>
        <v>3.8738999999999999</v>
      </c>
      <c r="F45" s="3"/>
      <c r="G45" s="17">
        <f t="shared" si="3"/>
        <v>1084.0902431878114</v>
      </c>
      <c r="H45" s="17">
        <f t="shared" si="4"/>
        <v>1135.0424846176386</v>
      </c>
      <c r="I45" s="17"/>
      <c r="J45" s="16">
        <f t="shared" si="5"/>
        <v>1089</v>
      </c>
      <c r="K45" s="16"/>
      <c r="L45" s="3">
        <f t="shared" si="6"/>
        <v>3637.2599999999998</v>
      </c>
      <c r="M45" s="3"/>
      <c r="N45" s="17">
        <f t="shared" si="7"/>
        <v>3.7167569999999999</v>
      </c>
      <c r="O45" s="17">
        <f t="shared" si="8"/>
        <v>12.413968379999998</v>
      </c>
      <c r="P45" s="3">
        <f>HDD!B13</f>
        <v>65</v>
      </c>
      <c r="Q45" s="3"/>
      <c r="R45" s="3"/>
      <c r="S45" s="17">
        <f t="shared" si="9"/>
        <v>2173.0902431878112</v>
      </c>
      <c r="T45" s="17">
        <f t="shared" si="10"/>
        <v>4772.3024846176386</v>
      </c>
      <c r="U45" s="17"/>
      <c r="V45" s="17">
        <f t="shared" si="11"/>
        <v>7.4167570000000005</v>
      </c>
      <c r="W45" s="17">
        <f t="shared" si="12"/>
        <v>16.287868379999999</v>
      </c>
      <c r="X45" s="23"/>
    </row>
    <row r="46" spans="1:24">
      <c r="A46" s="50"/>
      <c r="B46" s="29">
        <v>40380</v>
      </c>
      <c r="C46" s="17">
        <f t="shared" si="0"/>
        <v>54</v>
      </c>
      <c r="D46" s="17">
        <f t="shared" si="1"/>
        <v>5.4</v>
      </c>
      <c r="E46" s="17">
        <f t="shared" si="2"/>
        <v>5.6538000000000004</v>
      </c>
      <c r="F46" s="3"/>
      <c r="G46" s="17">
        <f t="shared" si="3"/>
        <v>1582.1857603281574</v>
      </c>
      <c r="H46" s="17">
        <f t="shared" si="4"/>
        <v>1656.5484910635807</v>
      </c>
      <c r="I46" s="17"/>
      <c r="J46" s="16">
        <f t="shared" si="5"/>
        <v>1528</v>
      </c>
      <c r="K46" s="16"/>
      <c r="L46" s="3">
        <f t="shared" si="6"/>
        <v>5103.5199999999995</v>
      </c>
      <c r="M46" s="3"/>
      <c r="N46" s="17">
        <f t="shared" si="7"/>
        <v>5.2150639999999999</v>
      </c>
      <c r="O46" s="17">
        <f t="shared" si="8"/>
        <v>17.418313759999997</v>
      </c>
      <c r="P46" s="3">
        <f>HDD!B14</f>
        <v>22</v>
      </c>
      <c r="Q46" s="3"/>
      <c r="R46" s="3"/>
      <c r="S46" s="17">
        <f t="shared" si="9"/>
        <v>3110.1857603281574</v>
      </c>
      <c r="T46" s="17">
        <f t="shared" si="10"/>
        <v>6760.06849106358</v>
      </c>
      <c r="U46" s="17"/>
      <c r="V46" s="17">
        <f t="shared" si="11"/>
        <v>10.615064</v>
      </c>
      <c r="W46" s="17">
        <f t="shared" si="12"/>
        <v>23.072113759999997</v>
      </c>
      <c r="X46" s="23"/>
    </row>
    <row r="47" spans="1:24">
      <c r="A47" s="50"/>
      <c r="B47" s="29">
        <v>40410</v>
      </c>
      <c r="C47" s="17">
        <f t="shared" si="0"/>
        <v>33</v>
      </c>
      <c r="D47" s="17">
        <f t="shared" si="1"/>
        <v>3.3000000000000003</v>
      </c>
      <c r="E47" s="17">
        <f t="shared" si="2"/>
        <v>3.4550999999999998</v>
      </c>
      <c r="F47" s="3"/>
      <c r="G47" s="17">
        <f t="shared" si="3"/>
        <v>966.89129797831833</v>
      </c>
      <c r="H47" s="17">
        <f t="shared" si="4"/>
        <v>1012.3351889832992</v>
      </c>
      <c r="I47" s="17"/>
      <c r="J47" s="16">
        <f t="shared" si="5"/>
        <v>1175</v>
      </c>
      <c r="K47" s="16"/>
      <c r="L47" s="3">
        <f t="shared" si="6"/>
        <v>3924.5</v>
      </c>
      <c r="M47" s="3"/>
      <c r="N47" s="17">
        <f t="shared" si="7"/>
        <v>4.010275</v>
      </c>
      <c r="O47" s="17">
        <f t="shared" si="8"/>
        <v>13.394318499999999</v>
      </c>
      <c r="P47" s="3">
        <f>HDD!B15</f>
        <v>44</v>
      </c>
      <c r="Q47" s="3"/>
      <c r="R47" s="3"/>
      <c r="S47" s="17">
        <f t="shared" si="9"/>
        <v>2141.8912979783181</v>
      </c>
      <c r="T47" s="17">
        <f t="shared" si="10"/>
        <v>4936.8351889832993</v>
      </c>
      <c r="U47" s="17"/>
      <c r="V47" s="17">
        <f t="shared" si="11"/>
        <v>7.3102750000000007</v>
      </c>
      <c r="W47" s="17">
        <f t="shared" si="12"/>
        <v>16.849418499999999</v>
      </c>
      <c r="X47" s="23"/>
    </row>
    <row r="48" spans="1:24">
      <c r="A48" s="50"/>
      <c r="B48" s="29">
        <v>40443</v>
      </c>
      <c r="C48" s="17">
        <f t="shared" si="0"/>
        <v>34</v>
      </c>
      <c r="D48" s="17">
        <f t="shared" si="1"/>
        <v>3.4000000000000004</v>
      </c>
      <c r="E48" s="17">
        <f t="shared" si="2"/>
        <v>3.5598000000000001</v>
      </c>
      <c r="F48" s="3"/>
      <c r="G48" s="17">
        <f t="shared" si="3"/>
        <v>996.19103428069172</v>
      </c>
      <c r="H48" s="17">
        <f t="shared" si="4"/>
        <v>1043.0120128918841</v>
      </c>
      <c r="I48" s="17"/>
      <c r="J48" s="16">
        <f t="shared" si="5"/>
        <v>835</v>
      </c>
      <c r="K48" s="16"/>
      <c r="L48" s="3">
        <f t="shared" si="6"/>
        <v>2788.9</v>
      </c>
      <c r="M48" s="3"/>
      <c r="N48" s="17">
        <f t="shared" si="7"/>
        <v>2.8498549999999998</v>
      </c>
      <c r="O48" s="17">
        <f t="shared" si="8"/>
        <v>9.5185157</v>
      </c>
      <c r="P48" s="3">
        <f>HDD!B16</f>
        <v>112</v>
      </c>
      <c r="Q48" s="3"/>
      <c r="R48" s="3"/>
      <c r="S48" s="17">
        <f t="shared" si="9"/>
        <v>1831.1910342806918</v>
      </c>
      <c r="T48" s="17">
        <f t="shared" si="10"/>
        <v>3831.9120128918839</v>
      </c>
      <c r="U48" s="17"/>
      <c r="V48" s="17">
        <f t="shared" si="11"/>
        <v>6.2498550000000002</v>
      </c>
      <c r="W48" s="17">
        <f t="shared" si="12"/>
        <v>13.078315700000001</v>
      </c>
      <c r="X48" s="23"/>
    </row>
    <row r="49" spans="1:28">
      <c r="A49" s="50"/>
      <c r="B49" s="29">
        <v>40470</v>
      </c>
      <c r="C49" s="17">
        <f t="shared" si="0"/>
        <v>47</v>
      </c>
      <c r="D49" s="17">
        <f t="shared" si="1"/>
        <v>4.7</v>
      </c>
      <c r="E49" s="17">
        <f t="shared" si="2"/>
        <v>4.9208999999999996</v>
      </c>
      <c r="F49" s="3"/>
      <c r="G49" s="17">
        <f t="shared" si="3"/>
        <v>1377.0876062115442</v>
      </c>
      <c r="H49" s="17">
        <f t="shared" si="4"/>
        <v>1441.8107237034867</v>
      </c>
      <c r="I49" s="17"/>
      <c r="J49" s="16">
        <f t="shared" si="5"/>
        <v>578</v>
      </c>
      <c r="K49" s="16"/>
      <c r="L49" s="3">
        <f t="shared" si="6"/>
        <v>1930.52</v>
      </c>
      <c r="M49" s="3"/>
      <c r="N49" s="17">
        <f t="shared" si="7"/>
        <v>1.9727139999999999</v>
      </c>
      <c r="O49" s="17">
        <f t="shared" si="8"/>
        <v>6.5888647599999999</v>
      </c>
      <c r="P49" s="3">
        <f>HDD!B17</f>
        <v>442</v>
      </c>
      <c r="Q49" s="3"/>
      <c r="R49" s="3"/>
      <c r="S49" s="17">
        <f t="shared" si="9"/>
        <v>1955.0876062115442</v>
      </c>
      <c r="T49" s="17">
        <f t="shared" si="10"/>
        <v>3372.3307237034869</v>
      </c>
      <c r="U49" s="17"/>
      <c r="V49" s="17">
        <f t="shared" si="11"/>
        <v>6.672714</v>
      </c>
      <c r="W49" s="17">
        <f t="shared" si="12"/>
        <v>11.509764759999999</v>
      </c>
      <c r="X49" s="23"/>
    </row>
    <row r="50" spans="1:28">
      <c r="A50" s="50"/>
      <c r="B50" s="29">
        <v>40500</v>
      </c>
      <c r="C50" s="17">
        <f t="shared" si="0"/>
        <v>105</v>
      </c>
      <c r="D50" s="17">
        <f t="shared" si="1"/>
        <v>10.5</v>
      </c>
      <c r="E50" s="17">
        <f t="shared" si="2"/>
        <v>10.993499999999999</v>
      </c>
      <c r="F50" s="3"/>
      <c r="G50" s="17">
        <f t="shared" si="3"/>
        <v>3076.4723117491944</v>
      </c>
      <c r="H50" s="17">
        <f t="shared" si="4"/>
        <v>3221.0665104014065</v>
      </c>
      <c r="I50" s="17"/>
      <c r="J50" s="16">
        <f t="shared" si="5"/>
        <v>592</v>
      </c>
      <c r="K50" s="16"/>
      <c r="L50" s="3">
        <f t="shared" si="6"/>
        <v>1977.28</v>
      </c>
      <c r="M50" s="3"/>
      <c r="N50" s="17">
        <f t="shared" si="7"/>
        <v>2.0204960000000001</v>
      </c>
      <c r="O50" s="17">
        <f t="shared" si="8"/>
        <v>6.7484566399999997</v>
      </c>
      <c r="P50" s="3">
        <f>HDD!B18</f>
        <v>710</v>
      </c>
      <c r="Q50" s="3"/>
      <c r="R50" s="3"/>
      <c r="S50" s="17">
        <f t="shared" si="9"/>
        <v>3668.4723117491944</v>
      </c>
      <c r="T50" s="17">
        <f t="shared" si="10"/>
        <v>5198.3465104014067</v>
      </c>
      <c r="U50" s="17"/>
      <c r="V50" s="17">
        <f t="shared" si="11"/>
        <v>12.520496</v>
      </c>
      <c r="W50" s="17">
        <f t="shared" si="12"/>
        <v>17.741956639999998</v>
      </c>
      <c r="X50" s="23"/>
    </row>
    <row r="51" spans="1:28">
      <c r="A51" s="50"/>
      <c r="B51" s="29">
        <v>40532</v>
      </c>
      <c r="C51" s="17">
        <f t="shared" si="0"/>
        <v>195</v>
      </c>
      <c r="D51" s="17">
        <f t="shared" si="1"/>
        <v>19.5</v>
      </c>
      <c r="E51" s="17">
        <f t="shared" si="2"/>
        <v>20.416499999999999</v>
      </c>
      <c r="F51" s="3"/>
      <c r="G51" s="17">
        <f t="shared" si="3"/>
        <v>5713.4485789627897</v>
      </c>
      <c r="H51" s="17">
        <f t="shared" si="4"/>
        <v>5981.9806621740408</v>
      </c>
      <c r="I51" s="17"/>
      <c r="J51" s="16">
        <f t="shared" si="5"/>
        <v>679</v>
      </c>
      <c r="K51" s="3"/>
      <c r="L51" s="3">
        <f t="shared" si="6"/>
        <v>2267.86</v>
      </c>
      <c r="M51" s="3"/>
      <c r="N51" s="17">
        <f t="shared" si="7"/>
        <v>2.3174269999999999</v>
      </c>
      <c r="O51" s="17">
        <f t="shared" si="8"/>
        <v>7.7402061800000004</v>
      </c>
      <c r="P51" s="3">
        <f>HDD!B19</f>
        <v>1110</v>
      </c>
      <c r="Q51" s="3"/>
      <c r="R51" s="3"/>
      <c r="S51" s="17">
        <f t="shared" si="9"/>
        <v>6392.4485789627897</v>
      </c>
      <c r="T51" s="17">
        <f t="shared" si="10"/>
        <v>8249.8406621740414</v>
      </c>
      <c r="U51" s="17"/>
      <c r="V51" s="17">
        <f t="shared" si="11"/>
        <v>21.817426999999999</v>
      </c>
      <c r="W51" s="17">
        <f t="shared" si="12"/>
        <v>28.15670618</v>
      </c>
      <c r="X51" s="23"/>
    </row>
    <row r="52" spans="1:28">
      <c r="A52" s="50"/>
      <c r="B52" s="29">
        <v>40564</v>
      </c>
      <c r="C52" s="17">
        <f t="shared" si="0"/>
        <v>232</v>
      </c>
      <c r="D52" s="17">
        <f t="shared" si="1"/>
        <v>23.200000000000003</v>
      </c>
      <c r="E52" s="17">
        <f t="shared" si="2"/>
        <v>24.290400000000002</v>
      </c>
      <c r="F52" s="3"/>
      <c r="G52" s="17">
        <f t="shared" ref="G52:G55" si="13">D52*E$32</f>
        <v>6797.5388221506018</v>
      </c>
      <c r="H52" s="17">
        <f t="shared" ref="H52:H55" si="14">E52*E$32</f>
        <v>7117.0231467916801</v>
      </c>
      <c r="I52" s="17"/>
      <c r="J52" s="16">
        <f t="shared" si="5"/>
        <v>857</v>
      </c>
      <c r="K52" s="3"/>
      <c r="L52" s="3">
        <f t="shared" ref="L52:L55" si="15">J52*E$35</f>
        <v>2862.3799999999997</v>
      </c>
      <c r="M52" s="3"/>
      <c r="N52" s="17">
        <f t="shared" ref="N52:N55" si="16">J52*E$34</f>
        <v>2.924941</v>
      </c>
      <c r="O52" s="17">
        <f t="shared" ref="O52:O55" si="17">L52*E$34</f>
        <v>9.7693029399999975</v>
      </c>
      <c r="P52" s="3">
        <f>HDD!B20</f>
        <v>1298</v>
      </c>
      <c r="Q52" s="3"/>
      <c r="R52" s="3"/>
      <c r="S52" s="17">
        <f t="shared" ref="S52:S55" si="18">G52+J52</f>
        <v>7654.5388221506018</v>
      </c>
      <c r="T52" s="17">
        <f t="shared" ref="T52:T55" si="19">H52+L52</f>
        <v>9979.4031467916793</v>
      </c>
      <c r="U52" s="17"/>
      <c r="V52" s="17">
        <f t="shared" ref="V52:V55" si="20">D52+N52</f>
        <v>26.124941000000003</v>
      </c>
      <c r="W52" s="17">
        <f t="shared" ref="W52:W55" si="21">E52+O52</f>
        <v>34.059702940000001</v>
      </c>
      <c r="X52" s="23"/>
    </row>
    <row r="53" spans="1:28">
      <c r="A53" s="50"/>
      <c r="B53" s="29">
        <v>40590</v>
      </c>
      <c r="C53" s="17">
        <f t="shared" si="0"/>
        <v>192</v>
      </c>
      <c r="D53" s="17">
        <f t="shared" si="1"/>
        <v>19.200000000000003</v>
      </c>
      <c r="E53" s="17">
        <f t="shared" si="2"/>
        <v>20.102400000000003</v>
      </c>
      <c r="F53" s="3"/>
      <c r="G53" s="17">
        <f t="shared" si="13"/>
        <v>5625.5493700556708</v>
      </c>
      <c r="H53" s="17">
        <f t="shared" si="14"/>
        <v>5889.9501904482877</v>
      </c>
      <c r="I53" s="17"/>
      <c r="J53" s="16">
        <f t="shared" si="5"/>
        <v>614</v>
      </c>
      <c r="K53" s="3"/>
      <c r="L53" s="3">
        <f t="shared" si="15"/>
        <v>2050.7599999999998</v>
      </c>
      <c r="M53" s="3"/>
      <c r="N53" s="17">
        <f t="shared" si="16"/>
        <v>2.0955819999999998</v>
      </c>
      <c r="O53" s="17">
        <f t="shared" si="17"/>
        <v>6.999243879999999</v>
      </c>
      <c r="P53" s="3">
        <f>HDD!B21</f>
        <v>1070</v>
      </c>
      <c r="Q53" s="3"/>
      <c r="R53" s="3"/>
      <c r="S53" s="17">
        <f t="shared" si="18"/>
        <v>6239.5493700556708</v>
      </c>
      <c r="T53" s="17">
        <f t="shared" si="19"/>
        <v>7940.7101904482879</v>
      </c>
      <c r="U53" s="17"/>
      <c r="V53" s="17">
        <f t="shared" si="20"/>
        <v>21.295582000000003</v>
      </c>
      <c r="W53" s="17">
        <f t="shared" si="21"/>
        <v>27.101643880000001</v>
      </c>
      <c r="X53" s="23"/>
    </row>
    <row r="54" spans="1:28">
      <c r="A54" s="50"/>
      <c r="B54" s="31">
        <v>40620</v>
      </c>
      <c r="C54" s="17">
        <f t="shared" si="0"/>
        <v>181</v>
      </c>
      <c r="D54" s="17">
        <f t="shared" si="1"/>
        <v>18.100000000000001</v>
      </c>
      <c r="E54" s="17">
        <f t="shared" si="2"/>
        <v>18.950700000000001</v>
      </c>
      <c r="F54" s="3"/>
      <c r="G54" s="17">
        <f t="shared" si="13"/>
        <v>5303.2522707295648</v>
      </c>
      <c r="H54" s="17">
        <f t="shared" si="14"/>
        <v>5552.5051274538537</v>
      </c>
      <c r="I54" s="17"/>
      <c r="J54" s="16">
        <f t="shared" si="5"/>
        <v>630</v>
      </c>
      <c r="K54" s="3"/>
      <c r="L54" s="3">
        <f t="shared" si="15"/>
        <v>2104.1999999999998</v>
      </c>
      <c r="M54" s="3"/>
      <c r="N54" s="17">
        <f t="shared" si="16"/>
        <v>2.1501899999999998</v>
      </c>
      <c r="O54" s="17">
        <f t="shared" si="17"/>
        <v>7.1816345999999989</v>
      </c>
      <c r="P54" s="3">
        <f>HDD!B22</f>
        <v>884</v>
      </c>
      <c r="Q54" s="3"/>
      <c r="R54" s="3"/>
      <c r="S54" s="17">
        <f t="shared" si="18"/>
        <v>5933.2522707295648</v>
      </c>
      <c r="T54" s="17">
        <f t="shared" si="19"/>
        <v>7656.7051274538535</v>
      </c>
      <c r="U54" s="17"/>
      <c r="V54" s="17">
        <f t="shared" si="20"/>
        <v>20.25019</v>
      </c>
      <c r="W54" s="17">
        <f t="shared" si="21"/>
        <v>26.1323346</v>
      </c>
      <c r="X54" s="23"/>
    </row>
    <row r="55" spans="1:28">
      <c r="A55" s="50"/>
      <c r="B55" s="31">
        <v>40654</v>
      </c>
      <c r="C55" s="17">
        <f t="shared" si="0"/>
        <v>138</v>
      </c>
      <c r="D55" s="17">
        <f t="shared" si="1"/>
        <v>13.8</v>
      </c>
      <c r="E55" s="17">
        <f t="shared" si="2"/>
        <v>14.448599999999999</v>
      </c>
      <c r="F55" s="3"/>
      <c r="G55" s="17">
        <f t="shared" si="13"/>
        <v>4043.363609727513</v>
      </c>
      <c r="H55" s="17">
        <f t="shared" si="14"/>
        <v>4233.4016993847054</v>
      </c>
      <c r="I55" s="17"/>
      <c r="J55" s="16">
        <f t="shared" si="5"/>
        <v>692</v>
      </c>
      <c r="K55" s="3"/>
      <c r="L55" s="3">
        <f t="shared" si="15"/>
        <v>2311.2799999999997</v>
      </c>
      <c r="M55" s="3"/>
      <c r="N55" s="17">
        <f t="shared" si="16"/>
        <v>2.361796</v>
      </c>
      <c r="O55" s="17">
        <f t="shared" si="17"/>
        <v>7.8883986399999984</v>
      </c>
      <c r="P55" s="3">
        <f>HDD!B23</f>
        <v>502</v>
      </c>
      <c r="Q55" s="3"/>
      <c r="R55" s="3"/>
      <c r="S55" s="17">
        <f t="shared" si="18"/>
        <v>4735.363609727513</v>
      </c>
      <c r="T55" s="17">
        <f t="shared" si="19"/>
        <v>6544.6816993847051</v>
      </c>
      <c r="U55" s="17"/>
      <c r="V55" s="17">
        <f t="shared" si="20"/>
        <v>16.161796000000002</v>
      </c>
      <c r="W55" s="17">
        <f t="shared" si="21"/>
        <v>22.336998639999997</v>
      </c>
      <c r="X55" s="23"/>
    </row>
    <row r="56" spans="1:28">
      <c r="A56" s="50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23"/>
      <c r="Y56" s="3"/>
      <c r="Z56" s="3"/>
      <c r="AA56" s="3"/>
      <c r="AB56" s="3"/>
    </row>
    <row r="57" spans="1:28">
      <c r="A57" s="50"/>
      <c r="B57" s="3"/>
      <c r="C57" s="17">
        <f>SUM(C40:C51)</f>
        <v>1761</v>
      </c>
      <c r="D57" s="3"/>
      <c r="E57" s="17">
        <f>SUM(E40:E51)</f>
        <v>184.37669999999997</v>
      </c>
      <c r="F57" s="3"/>
      <c r="G57" s="3"/>
      <c r="H57" s="3"/>
      <c r="I57" s="3"/>
      <c r="J57" s="17">
        <f>SUM(J40:J51)</f>
        <v>9763</v>
      </c>
      <c r="K57" s="17"/>
      <c r="L57" s="3"/>
      <c r="M57" s="3"/>
      <c r="N57" s="3"/>
      <c r="O57" s="17">
        <f>SUM(O40:O51)</f>
        <v>111.29253746000001</v>
      </c>
      <c r="P57" s="17"/>
      <c r="Q57" s="3"/>
      <c r="R57" s="3"/>
      <c r="S57" s="3"/>
      <c r="T57" s="3"/>
      <c r="U57" s="3"/>
      <c r="V57" s="3"/>
      <c r="W57" s="17"/>
      <c r="X57" s="51"/>
      <c r="Y57" s="3"/>
      <c r="Z57" s="17"/>
      <c r="AA57" s="17"/>
      <c r="AB57" s="3"/>
    </row>
    <row r="58" spans="1:28">
      <c r="A58" s="50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 t="s">
        <v>18</v>
      </c>
      <c r="T58" s="3" t="s">
        <v>21</v>
      </c>
      <c r="U58" s="3"/>
      <c r="V58" s="3" t="s">
        <v>19</v>
      </c>
      <c r="W58" s="3" t="s">
        <v>20</v>
      </c>
      <c r="X58" s="23"/>
      <c r="Y58" s="3"/>
      <c r="Z58" s="3"/>
      <c r="AA58" s="3"/>
      <c r="AB58" s="3"/>
    </row>
    <row r="59" spans="1:28">
      <c r="A59" s="46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 t="s">
        <v>59</v>
      </c>
      <c r="R59" s="19"/>
      <c r="S59" s="39">
        <f>SUM(S40:S51)</f>
        <v>61359.835628479348</v>
      </c>
      <c r="T59" s="39">
        <f>SUM(T40:T51)</f>
        <v>86630.306903017874</v>
      </c>
      <c r="U59" s="19"/>
      <c r="V59" s="39">
        <f>SUM(V40:V51)</f>
        <v>209.42111899999998</v>
      </c>
      <c r="W59" s="39">
        <f>SUM(W40:W51)</f>
        <v>295.66923745999998</v>
      </c>
      <c r="X59" s="30"/>
    </row>
    <row r="60" spans="1:28">
      <c r="A60" s="47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 t="s">
        <v>60</v>
      </c>
      <c r="R60" s="48"/>
      <c r="S60" s="42">
        <f>SUM(S44:S55)</f>
        <v>47966.856138294759</v>
      </c>
      <c r="T60" s="42">
        <f>SUM(T44:T55)</f>
        <v>72600.978376794606</v>
      </c>
      <c r="U60" s="48"/>
      <c r="V60" s="42">
        <f>SUM(V44:V55)</f>
        <v>163.71088000000003</v>
      </c>
      <c r="W60" s="42">
        <f>SUM(W44:W55)</f>
        <v>247.78713919999998</v>
      </c>
      <c r="X60" s="32"/>
    </row>
    <row r="63" spans="1:28">
      <c r="C63" s="8" t="s">
        <v>76</v>
      </c>
    </row>
    <row r="64" spans="1:28">
      <c r="A64" s="19"/>
      <c r="B64" s="19"/>
      <c r="C64" s="19"/>
      <c r="D64" s="19"/>
      <c r="E64" s="19"/>
      <c r="F64" s="19"/>
      <c r="G64" s="19"/>
      <c r="H64" s="19"/>
    </row>
    <row r="65" spans="1:14">
      <c r="A65" s="19"/>
      <c r="B65" s="19"/>
      <c r="C65" s="91" t="s">
        <v>67</v>
      </c>
      <c r="D65" s="91"/>
      <c r="E65" s="91"/>
    </row>
    <row r="66" spans="1:14" ht="75">
      <c r="A66" s="19"/>
      <c r="B66" s="19"/>
      <c r="C66" s="74" t="s">
        <v>68</v>
      </c>
      <c r="D66" s="74" t="s">
        <v>69</v>
      </c>
      <c r="E66" s="74" t="s">
        <v>70</v>
      </c>
      <c r="F66" s="74" t="s">
        <v>78</v>
      </c>
      <c r="G66" s="78" t="s">
        <v>77</v>
      </c>
      <c r="H66" s="74" t="s">
        <v>79</v>
      </c>
      <c r="I66" s="74" t="s">
        <v>74</v>
      </c>
    </row>
    <row r="67" spans="1:14">
      <c r="A67" s="19"/>
      <c r="B67" s="19"/>
      <c r="C67" s="76"/>
      <c r="D67" s="76"/>
      <c r="E67" s="76"/>
      <c r="F67" s="19"/>
      <c r="G67" s="19"/>
      <c r="H67" s="19"/>
      <c r="I67" s="19"/>
    </row>
    <row r="68" spans="1:14">
      <c r="A68" s="19"/>
      <c r="B68" s="33">
        <v>40183</v>
      </c>
      <c r="C68" s="77"/>
      <c r="D68" s="69">
        <v>389</v>
      </c>
      <c r="E68" s="69">
        <v>1189</v>
      </c>
      <c r="F68" s="39">
        <f>N40</f>
        <v>2.8873979999999997</v>
      </c>
      <c r="G68" s="39">
        <f>0.0207*E68+4.3184</f>
        <v>28.930700000000002</v>
      </c>
      <c r="H68" s="39">
        <f>SUM(F68:G68)</f>
        <v>31.818098000000003</v>
      </c>
      <c r="I68" s="39">
        <f>'Energy Use'!$E$4*F68+'Energy Use'!$E$5*G68</f>
        <v>39.934352219999994</v>
      </c>
    </row>
    <row r="69" spans="1:14">
      <c r="A69" s="19"/>
      <c r="B69" s="33">
        <v>40213</v>
      </c>
      <c r="C69" s="70"/>
      <c r="D69" s="69">
        <v>472</v>
      </c>
      <c r="E69" s="69">
        <v>950</v>
      </c>
      <c r="F69" s="39">
        <f t="shared" ref="F69:F79" si="22">N41</f>
        <v>2.1024080000000001</v>
      </c>
      <c r="G69" s="39">
        <f t="shared" ref="G69:G79" si="23">0.0207*E69+4.3184</f>
        <v>23.9834</v>
      </c>
      <c r="H69" s="39">
        <f t="shared" ref="H69:H79" si="24">SUM(F69:G69)</f>
        <v>26.085808</v>
      </c>
      <c r="I69" s="39">
        <f>'Energy Use'!$E$4*F69+'Energy Use'!$E$5*G69</f>
        <v>32.132662519999997</v>
      </c>
    </row>
    <row r="70" spans="1:14">
      <c r="A70" s="19"/>
      <c r="B70" s="33">
        <v>40242</v>
      </c>
      <c r="C70" s="70"/>
      <c r="D70" s="69">
        <v>533</v>
      </c>
      <c r="E70" s="69">
        <v>813</v>
      </c>
      <c r="F70" s="39">
        <f t="shared" si="22"/>
        <v>2.5153809999999996</v>
      </c>
      <c r="G70" s="39">
        <f t="shared" si="23"/>
        <v>21.147500000000001</v>
      </c>
      <c r="H70" s="39">
        <f t="shared" si="24"/>
        <v>23.662880999999999</v>
      </c>
      <c r="I70" s="39">
        <f>'Energy Use'!$E$4*F70+'Energy Use'!$E$5*G70</f>
        <v>30.542805039999998</v>
      </c>
    </row>
    <row r="71" spans="1:14">
      <c r="A71" s="19"/>
      <c r="B71" s="33">
        <v>40277</v>
      </c>
      <c r="C71" s="70"/>
      <c r="D71" s="69">
        <v>505</v>
      </c>
      <c r="E71" s="69">
        <v>537</v>
      </c>
      <c r="F71" s="39">
        <f t="shared" si="22"/>
        <v>2.0375609999999997</v>
      </c>
      <c r="G71" s="39">
        <f t="shared" si="23"/>
        <v>15.4343</v>
      </c>
      <c r="H71" s="39">
        <f t="shared" si="24"/>
        <v>17.471861000000001</v>
      </c>
      <c r="I71" s="39">
        <f>'Energy Use'!$E$4*F71+'Energy Use'!$E$5*G71</f>
        <v>22.965165839999997</v>
      </c>
    </row>
    <row r="72" spans="1:14">
      <c r="A72" s="19"/>
      <c r="B72" s="33">
        <v>40303</v>
      </c>
      <c r="C72" s="70"/>
      <c r="D72" s="69">
        <v>343</v>
      </c>
      <c r="E72" s="69">
        <v>204</v>
      </c>
      <c r="F72" s="39">
        <f t="shared" si="22"/>
        <v>1.6757829999999998</v>
      </c>
      <c r="G72" s="39">
        <f t="shared" si="23"/>
        <v>8.5411999999999999</v>
      </c>
      <c r="H72" s="39">
        <f t="shared" si="24"/>
        <v>10.216982999999999</v>
      </c>
      <c r="I72" s="39">
        <f>'Energy Use'!$E$4*F72+'Energy Use'!$E$5*G72</f>
        <v>14.539751619999999</v>
      </c>
    </row>
    <row r="73" spans="1:14">
      <c r="A73" s="19"/>
      <c r="B73" s="33">
        <v>40330</v>
      </c>
      <c r="C73" s="70"/>
      <c r="D73" s="69">
        <v>118</v>
      </c>
      <c r="E73" s="69">
        <v>87</v>
      </c>
      <c r="F73" s="39">
        <f t="shared" si="22"/>
        <v>3.7167569999999999</v>
      </c>
      <c r="G73" s="39">
        <f t="shared" si="23"/>
        <v>6.1192999999999991</v>
      </c>
      <c r="H73" s="39">
        <f t="shared" si="24"/>
        <v>9.8360569999999985</v>
      </c>
      <c r="I73" s="39">
        <f>'Energy Use'!$E$4*F73+'Energy Use'!$E$5*G73</f>
        <v>18.820875479999998</v>
      </c>
    </row>
    <row r="74" spans="1:14">
      <c r="A74" s="19"/>
      <c r="B74" s="33">
        <v>40380</v>
      </c>
      <c r="C74" s="70"/>
      <c r="D74" s="69">
        <v>39</v>
      </c>
      <c r="E74" s="69">
        <v>3</v>
      </c>
      <c r="F74" s="39">
        <f t="shared" si="22"/>
        <v>5.2150639999999999</v>
      </c>
      <c r="G74" s="39">
        <f t="shared" si="23"/>
        <v>4.3804999999999996</v>
      </c>
      <c r="H74" s="39">
        <f t="shared" si="24"/>
        <v>9.5955639999999995</v>
      </c>
      <c r="I74" s="39">
        <f>'Energy Use'!$E$4*F74+'Energy Use'!$E$5*G74</f>
        <v>22.00469726</v>
      </c>
    </row>
    <row r="75" spans="1:14">
      <c r="A75" s="19"/>
      <c r="B75" s="33">
        <v>40410</v>
      </c>
      <c r="C75" s="70"/>
      <c r="D75" s="69">
        <v>6</v>
      </c>
      <c r="E75" s="69">
        <v>5</v>
      </c>
      <c r="F75" s="39">
        <f t="shared" si="22"/>
        <v>4.010275</v>
      </c>
      <c r="G75" s="39">
        <f t="shared" si="23"/>
        <v>4.4218999999999999</v>
      </c>
      <c r="H75" s="39">
        <f t="shared" si="24"/>
        <v>8.4321750000000009</v>
      </c>
      <c r="I75" s="39">
        <f>'Energy Use'!$E$4*F75+'Energy Use'!$E$5*G75</f>
        <v>18.024047799999998</v>
      </c>
    </row>
    <row r="76" spans="1:14">
      <c r="A76" s="19"/>
      <c r="B76" s="33">
        <v>40443</v>
      </c>
      <c r="C76" s="70"/>
      <c r="D76" s="69">
        <v>13</v>
      </c>
      <c r="E76" s="69">
        <v>66</v>
      </c>
      <c r="F76" s="39">
        <f t="shared" si="22"/>
        <v>2.8498549999999998</v>
      </c>
      <c r="G76" s="39">
        <f t="shared" si="23"/>
        <v>5.6845999999999997</v>
      </c>
      <c r="H76" s="39">
        <f t="shared" si="24"/>
        <v>8.5344549999999995</v>
      </c>
      <c r="I76" s="39">
        <f>'Energy Use'!$E$4*F76+'Energy Use'!$E$5*G76</f>
        <v>15.470291899999998</v>
      </c>
    </row>
    <row r="77" spans="1:14">
      <c r="A77" s="19"/>
      <c r="B77" s="33">
        <v>40470</v>
      </c>
      <c r="C77" s="70"/>
      <c r="D77" s="69">
        <v>36</v>
      </c>
      <c r="E77" s="69">
        <v>348</v>
      </c>
      <c r="F77" s="39">
        <f t="shared" si="22"/>
        <v>1.9727139999999999</v>
      </c>
      <c r="G77" s="39">
        <f t="shared" si="23"/>
        <v>11.521999999999998</v>
      </c>
      <c r="H77" s="39">
        <f t="shared" si="24"/>
        <v>13.494713999999998</v>
      </c>
      <c r="I77" s="39">
        <f>'Energy Use'!$E$4*F77+'Energy Use'!$E$5*G77</f>
        <v>18.652398759999997</v>
      </c>
    </row>
    <row r="78" spans="1:14">
      <c r="A78" s="19"/>
      <c r="B78" s="33">
        <v>40500</v>
      </c>
      <c r="C78" s="70"/>
      <c r="D78" s="69">
        <v>87</v>
      </c>
      <c r="E78" s="69">
        <v>652</v>
      </c>
      <c r="F78" s="39">
        <f t="shared" si="22"/>
        <v>2.0204960000000001</v>
      </c>
      <c r="G78" s="39">
        <f t="shared" si="23"/>
        <v>17.814799999999998</v>
      </c>
      <c r="H78" s="39">
        <f t="shared" si="24"/>
        <v>19.835296</v>
      </c>
      <c r="I78" s="39">
        <f>'Energy Use'!$E$4*F78+'Energy Use'!$E$5*G78</f>
        <v>25.400552239999996</v>
      </c>
    </row>
    <row r="79" spans="1:14">
      <c r="A79" s="19"/>
      <c r="B79" s="79">
        <v>40532</v>
      </c>
      <c r="C79" s="67"/>
      <c r="D79" s="68">
        <v>212</v>
      </c>
      <c r="E79" s="68">
        <v>902</v>
      </c>
      <c r="F79" s="42">
        <f t="shared" si="22"/>
        <v>2.3174269999999999</v>
      </c>
      <c r="G79" s="42">
        <f t="shared" si="23"/>
        <v>22.989799999999999</v>
      </c>
      <c r="H79" s="42">
        <f t="shared" si="24"/>
        <v>25.307226999999997</v>
      </c>
      <c r="I79" s="42">
        <f>'Energy Use'!$E$4*F79+'Energy Use'!$E$5*G79</f>
        <v>31.810526779999996</v>
      </c>
    </row>
    <row r="80" spans="1:14">
      <c r="A80" s="19"/>
      <c r="B80" s="19"/>
      <c r="C80" s="19"/>
      <c r="D80" s="19"/>
      <c r="E80" s="19"/>
      <c r="F80" s="70"/>
      <c r="G80" s="19"/>
      <c r="H80" s="19"/>
      <c r="I80" s="13">
        <f>SUM(I68:I79)</f>
        <v>290.29812745999999</v>
      </c>
      <c r="L80" s="8" t="s">
        <v>85</v>
      </c>
      <c r="N80" s="13">
        <f>SUM(I69:I74)</f>
        <v>141.00595776</v>
      </c>
    </row>
    <row r="81" spans="1:15">
      <c r="A81" s="19"/>
      <c r="B81" s="19"/>
      <c r="C81" s="19"/>
      <c r="D81" s="19"/>
      <c r="E81" s="19" t="s">
        <v>86</v>
      </c>
      <c r="F81" s="84">
        <f>MIN(F69:F74)</f>
        <v>1.6757829999999998</v>
      </c>
      <c r="G81" s="39">
        <f>MIN(G69:G74)</f>
        <v>4.3804999999999996</v>
      </c>
      <c r="H81" s="19"/>
      <c r="I81" s="42">
        <f>'Energy Use'!$E$4*F81+'Energy Use'!$E$5*G81</f>
        <v>10.183498719999999</v>
      </c>
      <c r="M81" s="8" t="s">
        <v>84</v>
      </c>
      <c r="N81" s="13">
        <f>N80*1000/2906</f>
        <v>48.52235298004129</v>
      </c>
    </row>
    <row r="82" spans="1:15">
      <c r="A82" s="19"/>
      <c r="B82" s="19"/>
      <c r="C82" s="19"/>
      <c r="D82" s="19"/>
      <c r="E82" s="19"/>
      <c r="F82" s="19"/>
      <c r="G82" s="19"/>
      <c r="H82" s="19"/>
      <c r="M82" s="8" t="s">
        <v>87</v>
      </c>
      <c r="N82" s="13">
        <f>N80-6*I81</f>
        <v>79.904965440000012</v>
      </c>
      <c r="O82" s="75">
        <f>N82/N80</f>
        <v>0.56667793836060965</v>
      </c>
    </row>
  </sheetData>
  <mergeCells count="3">
    <mergeCell ref="J5:K5"/>
    <mergeCell ref="J37:K37"/>
    <mergeCell ref="C65:E6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U64"/>
  <sheetViews>
    <sheetView workbookViewId="0">
      <selection activeCell="O32" sqref="O32"/>
    </sheetView>
  </sheetViews>
  <sheetFormatPr defaultColWidth="8.85546875" defaultRowHeight="15"/>
  <cols>
    <col min="4" max="4" width="10.42578125" bestFit="1" customWidth="1"/>
    <col min="15" max="15" width="10.42578125" customWidth="1"/>
    <col min="16" max="16" width="10.28515625" customWidth="1"/>
    <col min="18" max="18" width="10.28515625" customWidth="1"/>
    <col min="19" max="19" width="10.7109375" customWidth="1"/>
    <col min="20" max="20" width="11" customWidth="1"/>
    <col min="21" max="21" width="10.42578125" customWidth="1"/>
  </cols>
  <sheetData>
    <row r="2" spans="1:21">
      <c r="B2" s="8" t="s">
        <v>41</v>
      </c>
      <c r="D2" s="8"/>
      <c r="E2" s="10"/>
    </row>
    <row r="3" spans="1:21">
      <c r="B3" s="8" t="s">
        <v>40</v>
      </c>
    </row>
    <row r="4" spans="1:21">
      <c r="D4" s="8" t="s">
        <v>42</v>
      </c>
    </row>
    <row r="5" spans="1:21">
      <c r="B5" s="8"/>
      <c r="C5" t="s">
        <v>0</v>
      </c>
      <c r="D5" t="s">
        <v>1</v>
      </c>
      <c r="R5" s="53">
        <v>40470</v>
      </c>
      <c r="S5" s="53">
        <v>40500</v>
      </c>
      <c r="T5" s="54">
        <v>30</v>
      </c>
      <c r="U5" s="54">
        <v>105</v>
      </c>
    </row>
    <row r="6" spans="1:21" s="8" customFormat="1">
      <c r="A6" s="1">
        <v>40390</v>
      </c>
      <c r="C6" s="13"/>
      <c r="D6" s="2">
        <f>HDD!B14</f>
        <v>22</v>
      </c>
      <c r="R6" s="53">
        <v>40500</v>
      </c>
      <c r="S6" s="53">
        <v>40532</v>
      </c>
      <c r="T6" s="54">
        <v>32</v>
      </c>
      <c r="U6" s="54">
        <v>195</v>
      </c>
    </row>
    <row r="7" spans="1:21" s="8" customFormat="1">
      <c r="A7" s="1">
        <v>40421</v>
      </c>
      <c r="C7" s="13"/>
      <c r="D7" s="2">
        <f>HDD!B15</f>
        <v>44</v>
      </c>
      <c r="R7" s="53">
        <v>40532</v>
      </c>
      <c r="S7" s="53">
        <v>40564</v>
      </c>
      <c r="T7" s="54">
        <v>32</v>
      </c>
      <c r="U7" s="54">
        <v>232</v>
      </c>
    </row>
    <row r="8" spans="1:21" s="8" customFormat="1">
      <c r="A8" s="1">
        <v>40451</v>
      </c>
      <c r="C8" s="13"/>
      <c r="D8" s="2">
        <f>HDD!B16</f>
        <v>112</v>
      </c>
      <c r="R8" s="53">
        <v>40564</v>
      </c>
      <c r="S8" s="53">
        <v>40590</v>
      </c>
      <c r="T8" s="54">
        <v>26</v>
      </c>
      <c r="U8" s="54">
        <v>192</v>
      </c>
    </row>
    <row r="9" spans="1:21" s="8" customFormat="1">
      <c r="A9" s="1">
        <v>40482</v>
      </c>
      <c r="C9" s="13">
        <v>47</v>
      </c>
      <c r="D9" s="2">
        <f>HDD!B17</f>
        <v>442</v>
      </c>
      <c r="R9" s="53">
        <v>40590</v>
      </c>
      <c r="S9" s="53">
        <v>40620</v>
      </c>
      <c r="T9" s="54">
        <v>30</v>
      </c>
      <c r="U9" s="54">
        <v>181</v>
      </c>
    </row>
    <row r="10" spans="1:21" s="8" customFormat="1">
      <c r="A10" s="1">
        <v>40512</v>
      </c>
      <c r="C10" s="13">
        <v>105</v>
      </c>
      <c r="D10" s="2">
        <f>HDD!B18</f>
        <v>710</v>
      </c>
      <c r="R10" s="53">
        <v>40620</v>
      </c>
      <c r="S10" s="53">
        <v>40654</v>
      </c>
      <c r="T10" s="54">
        <v>34</v>
      </c>
      <c r="U10" s="54">
        <v>138</v>
      </c>
    </row>
    <row r="11" spans="1:21">
      <c r="A11" s="1">
        <v>40543</v>
      </c>
      <c r="B11" s="16"/>
      <c r="C11" s="13">
        <v>195</v>
      </c>
      <c r="D11" s="2">
        <f>HDD!B19</f>
        <v>1110</v>
      </c>
      <c r="R11" s="53">
        <v>40654</v>
      </c>
      <c r="S11" s="53">
        <v>40681</v>
      </c>
      <c r="T11" s="54">
        <v>27</v>
      </c>
      <c r="U11" s="54">
        <v>49</v>
      </c>
    </row>
    <row r="12" spans="1:21">
      <c r="A12" s="1">
        <v>40574</v>
      </c>
      <c r="B12" s="16"/>
      <c r="C12" s="13">
        <v>232</v>
      </c>
      <c r="D12" s="2">
        <f>HDD!B20</f>
        <v>1298</v>
      </c>
      <c r="R12" s="53">
        <v>40681</v>
      </c>
      <c r="S12" s="53">
        <v>40715</v>
      </c>
      <c r="T12" s="54">
        <v>34</v>
      </c>
      <c r="U12" s="54">
        <v>22</v>
      </c>
    </row>
    <row r="13" spans="1:21">
      <c r="A13" s="1">
        <v>40602</v>
      </c>
      <c r="B13" s="16"/>
      <c r="C13" s="13">
        <v>192</v>
      </c>
      <c r="D13" s="2">
        <f>HDD!B21</f>
        <v>1070</v>
      </c>
      <c r="R13" s="53">
        <v>40715</v>
      </c>
      <c r="S13" s="53">
        <v>40744</v>
      </c>
      <c r="T13" s="54">
        <v>29</v>
      </c>
      <c r="U13" s="54">
        <v>0</v>
      </c>
    </row>
    <row r="14" spans="1:21">
      <c r="A14" s="1">
        <v>40633</v>
      </c>
      <c r="B14" s="16"/>
      <c r="C14" s="13">
        <v>181</v>
      </c>
      <c r="D14" s="2">
        <f>HDD!B22</f>
        <v>884</v>
      </c>
      <c r="R14" s="53">
        <v>40744</v>
      </c>
      <c r="S14" s="53">
        <v>40774</v>
      </c>
      <c r="T14" s="54">
        <v>30</v>
      </c>
      <c r="U14" s="54">
        <v>0</v>
      </c>
    </row>
    <row r="15" spans="1:21">
      <c r="A15" s="1">
        <v>40663</v>
      </c>
      <c r="B15" s="16"/>
      <c r="C15" s="13">
        <v>138</v>
      </c>
      <c r="D15" s="2">
        <f>HDD!B23</f>
        <v>502</v>
      </c>
      <c r="R15" s="53">
        <v>40774</v>
      </c>
      <c r="S15" s="53">
        <v>40805</v>
      </c>
      <c r="T15" s="54">
        <v>31</v>
      </c>
      <c r="U15" s="54">
        <v>1</v>
      </c>
    </row>
    <row r="16" spans="1:21">
      <c r="A16" s="1">
        <v>40694</v>
      </c>
      <c r="B16" s="16"/>
      <c r="C16" s="13">
        <v>49</v>
      </c>
      <c r="D16" s="2">
        <f>HDD!B24</f>
        <v>268</v>
      </c>
      <c r="R16" s="53">
        <v>40805</v>
      </c>
      <c r="S16" s="53">
        <v>40835</v>
      </c>
      <c r="T16" s="54">
        <v>30</v>
      </c>
      <c r="U16" s="54">
        <v>21</v>
      </c>
    </row>
    <row r="17" spans="1:21">
      <c r="A17" s="1">
        <v>40724</v>
      </c>
      <c r="B17" s="16"/>
      <c r="C17" s="13">
        <v>22</v>
      </c>
      <c r="D17" s="2">
        <f>HDD!B25</f>
        <v>113</v>
      </c>
      <c r="R17" s="53">
        <v>40835</v>
      </c>
      <c r="S17" s="53">
        <v>40864</v>
      </c>
      <c r="T17" s="54">
        <v>29</v>
      </c>
      <c r="U17" s="54">
        <v>74</v>
      </c>
    </row>
    <row r="18" spans="1:21">
      <c r="A18" s="1">
        <v>40755</v>
      </c>
      <c r="B18" s="16"/>
      <c r="C18" s="13">
        <v>0</v>
      </c>
      <c r="D18" s="2">
        <f>HDD!B26</f>
        <v>20</v>
      </c>
      <c r="R18" s="53">
        <v>40864</v>
      </c>
      <c r="S18" s="53">
        <v>40897</v>
      </c>
      <c r="T18" s="54">
        <v>33</v>
      </c>
      <c r="U18" s="54">
        <v>132</v>
      </c>
    </row>
    <row r="19" spans="1:21">
      <c r="A19" s="1">
        <v>40786</v>
      </c>
      <c r="B19" s="16"/>
      <c r="C19" s="13">
        <v>0</v>
      </c>
      <c r="D19" s="2">
        <f>HDD!B27</f>
        <v>31</v>
      </c>
      <c r="R19" s="53">
        <v>40897</v>
      </c>
      <c r="S19" s="53">
        <v>40928</v>
      </c>
      <c r="T19" s="54">
        <v>31</v>
      </c>
      <c r="U19" s="54">
        <v>152</v>
      </c>
    </row>
    <row r="20" spans="1:21">
      <c r="A20" s="1">
        <v>40816</v>
      </c>
      <c r="B20" s="16"/>
      <c r="C20" s="13">
        <v>1</v>
      </c>
      <c r="D20" s="2">
        <f>HDD!B28</f>
        <v>108</v>
      </c>
      <c r="R20" s="53">
        <v>40928</v>
      </c>
      <c r="S20" s="53">
        <v>40956</v>
      </c>
      <c r="T20" s="54">
        <v>28</v>
      </c>
      <c r="U20" s="54">
        <v>131</v>
      </c>
    </row>
    <row r="21" spans="1:21">
      <c r="A21" s="1">
        <v>40847</v>
      </c>
      <c r="B21" s="16"/>
      <c r="C21" s="13">
        <v>21</v>
      </c>
      <c r="D21" s="2">
        <f>HDD!B29</f>
        <v>418</v>
      </c>
      <c r="R21" s="53">
        <v>40956</v>
      </c>
      <c r="S21" s="53">
        <v>40989</v>
      </c>
      <c r="T21" s="54">
        <v>33</v>
      </c>
      <c r="U21" s="54">
        <v>116</v>
      </c>
    </row>
    <row r="22" spans="1:21">
      <c r="A22" s="1">
        <v>40877</v>
      </c>
      <c r="B22" s="16"/>
      <c r="C22" s="13">
        <v>74</v>
      </c>
      <c r="D22" s="2">
        <f>HDD!B30</f>
        <v>563</v>
      </c>
      <c r="R22" s="53">
        <v>40989</v>
      </c>
      <c r="S22" s="53">
        <v>41018</v>
      </c>
      <c r="T22" s="54">
        <v>29</v>
      </c>
      <c r="U22" s="54">
        <v>56</v>
      </c>
    </row>
    <row r="23" spans="1:21">
      <c r="A23" s="1">
        <v>40908</v>
      </c>
      <c r="B23" s="16"/>
      <c r="C23" s="13">
        <v>132</v>
      </c>
      <c r="D23" s="2">
        <f>HDD!B31</f>
        <v>882</v>
      </c>
      <c r="E23" s="8" t="s">
        <v>54</v>
      </c>
      <c r="R23" s="53">
        <v>41018</v>
      </c>
      <c r="S23" s="53">
        <v>41052</v>
      </c>
      <c r="T23" s="54">
        <v>34</v>
      </c>
      <c r="U23" s="54">
        <v>32</v>
      </c>
    </row>
    <row r="24" spans="1:21">
      <c r="A24" s="1">
        <v>40939</v>
      </c>
      <c r="B24" s="16"/>
      <c r="C24" s="13">
        <v>152</v>
      </c>
      <c r="D24" s="2">
        <f>HDD!B32</f>
        <v>1053</v>
      </c>
      <c r="R24" s="53">
        <v>41052</v>
      </c>
      <c r="S24" s="53">
        <v>41085</v>
      </c>
      <c r="T24" s="54">
        <v>33</v>
      </c>
      <c r="U24" s="54">
        <v>21</v>
      </c>
    </row>
    <row r="25" spans="1:21">
      <c r="A25" s="1">
        <v>40968</v>
      </c>
      <c r="B25" s="16"/>
      <c r="C25" s="13">
        <v>131</v>
      </c>
      <c r="D25" s="2">
        <f>HDD!B33</f>
        <v>895</v>
      </c>
      <c r="R25" s="53">
        <v>41085</v>
      </c>
      <c r="S25" s="53">
        <v>41110</v>
      </c>
      <c r="T25" s="54">
        <v>25</v>
      </c>
      <c r="U25" s="54">
        <v>19</v>
      </c>
    </row>
    <row r="26" spans="1:21">
      <c r="A26" s="1">
        <v>40999</v>
      </c>
      <c r="B26" s="16"/>
      <c r="C26" s="13">
        <v>116</v>
      </c>
      <c r="D26" s="2">
        <f>HDD!B34</f>
        <v>652</v>
      </c>
      <c r="R26" s="53">
        <v>41110</v>
      </c>
      <c r="S26" s="53">
        <v>41143</v>
      </c>
      <c r="T26" s="54">
        <v>33</v>
      </c>
      <c r="U26" s="54">
        <v>19</v>
      </c>
    </row>
    <row r="27" spans="1:21">
      <c r="A27" s="1">
        <v>41029</v>
      </c>
      <c r="B27" s="16"/>
      <c r="C27" s="13">
        <v>56</v>
      </c>
      <c r="D27" s="2">
        <f>HDD!B35</f>
        <v>463</v>
      </c>
    </row>
    <row r="28" spans="1:21">
      <c r="A28" s="1">
        <v>41060</v>
      </c>
      <c r="B28" s="16"/>
      <c r="C28" s="13">
        <v>32</v>
      </c>
      <c r="D28" s="2">
        <f>HDD!B36</f>
        <v>208</v>
      </c>
    </row>
    <row r="29" spans="1:21">
      <c r="A29" s="1">
        <v>41090</v>
      </c>
      <c r="B29" s="16"/>
      <c r="C29" s="13">
        <v>21</v>
      </c>
      <c r="D29" s="2">
        <f>HDD!B37</f>
        <v>121</v>
      </c>
    </row>
    <row r="30" spans="1:21">
      <c r="A30" s="1">
        <v>41121</v>
      </c>
      <c r="B30" s="16"/>
      <c r="C30" s="13">
        <v>19</v>
      </c>
      <c r="D30" s="2">
        <f>HDD!B38</f>
        <v>22</v>
      </c>
    </row>
    <row r="31" spans="1:21">
      <c r="A31" s="1">
        <v>41152</v>
      </c>
      <c r="B31" s="16"/>
      <c r="C31" s="13">
        <v>19</v>
      </c>
      <c r="D31" s="2">
        <f>HDD!B39</f>
        <v>27</v>
      </c>
    </row>
    <row r="32" spans="1:21">
      <c r="A32" s="1">
        <v>41182</v>
      </c>
      <c r="B32" s="16"/>
      <c r="C32" s="13">
        <f>16*1.0301</f>
        <v>16.4816</v>
      </c>
      <c r="D32" s="2">
        <f>HDD!B40</f>
        <v>169</v>
      </c>
    </row>
    <row r="33" spans="1:5">
      <c r="A33" s="1">
        <v>41213</v>
      </c>
    </row>
    <row r="36" spans="1:5">
      <c r="A36" s="8"/>
      <c r="B36" s="8"/>
      <c r="C36" s="8"/>
    </row>
    <row r="37" spans="1:5">
      <c r="D37" s="8"/>
    </row>
    <row r="38" spans="1:5">
      <c r="A38" s="33"/>
      <c r="B38" s="19"/>
      <c r="C38" s="13"/>
      <c r="D38" s="1"/>
      <c r="E38" s="13"/>
    </row>
    <row r="39" spans="1:5">
      <c r="A39" s="33"/>
      <c r="B39" s="19"/>
      <c r="C39" s="13"/>
      <c r="D39" s="1"/>
      <c r="E39" s="13"/>
    </row>
    <row r="40" spans="1:5">
      <c r="A40" s="33"/>
      <c r="B40" s="19"/>
      <c r="C40" s="13"/>
      <c r="D40" s="1"/>
      <c r="E40" s="13"/>
    </row>
    <row r="41" spans="1:5">
      <c r="A41" s="33"/>
      <c r="B41" s="19"/>
      <c r="C41" s="13"/>
      <c r="D41" s="1"/>
      <c r="E41" s="13"/>
    </row>
    <row r="42" spans="1:5">
      <c r="A42" s="33"/>
      <c r="B42" s="19"/>
      <c r="C42" s="13"/>
      <c r="D42" s="1"/>
      <c r="E42" s="13"/>
    </row>
    <row r="43" spans="1:5">
      <c r="A43" s="33"/>
      <c r="B43" s="19"/>
      <c r="C43" s="13"/>
      <c r="D43" s="1"/>
      <c r="E43" s="13"/>
    </row>
    <row r="44" spans="1:5">
      <c r="A44" s="33"/>
      <c r="B44" s="19"/>
      <c r="C44" s="13"/>
      <c r="D44" s="1"/>
      <c r="E44" s="13"/>
    </row>
    <row r="45" spans="1:5">
      <c r="A45" s="33"/>
      <c r="B45" s="19"/>
      <c r="C45" s="13"/>
      <c r="D45" s="1"/>
      <c r="E45" s="13"/>
    </row>
    <row r="46" spans="1:5">
      <c r="A46" s="33"/>
      <c r="B46" s="19"/>
      <c r="C46" s="13"/>
      <c r="D46" s="1"/>
      <c r="E46" s="13"/>
    </row>
    <row r="47" spans="1:5">
      <c r="A47" s="33"/>
      <c r="B47" s="19"/>
      <c r="C47" s="13"/>
      <c r="D47" s="1"/>
      <c r="E47" s="13"/>
    </row>
    <row r="48" spans="1:5">
      <c r="A48" s="33"/>
      <c r="B48" s="19"/>
      <c r="C48" s="13"/>
      <c r="D48" s="1"/>
      <c r="E48" s="13"/>
    </row>
    <row r="49" spans="1:6">
      <c r="A49" s="33"/>
      <c r="B49" s="19"/>
      <c r="C49" s="13"/>
      <c r="D49" s="1"/>
      <c r="E49" s="13"/>
    </row>
    <row r="50" spans="1:6">
      <c r="A50" s="33"/>
      <c r="B50" s="19"/>
      <c r="C50" s="13"/>
      <c r="D50" s="1"/>
      <c r="E50" s="13"/>
    </row>
    <row r="51" spans="1:6">
      <c r="A51" s="33"/>
      <c r="B51" s="19"/>
      <c r="C51" s="13"/>
      <c r="D51" s="1"/>
      <c r="E51" s="13"/>
    </row>
    <row r="52" spans="1:6">
      <c r="A52" s="33"/>
      <c r="B52" s="19"/>
      <c r="C52" s="13"/>
      <c r="D52" s="1"/>
      <c r="E52" s="13"/>
    </row>
    <row r="53" spans="1:6">
      <c r="A53" s="33"/>
      <c r="B53" s="19"/>
      <c r="C53" s="13"/>
      <c r="D53" s="1"/>
      <c r="E53" s="13"/>
    </row>
    <row r="54" spans="1:6">
      <c r="A54" s="33"/>
      <c r="B54" s="19"/>
      <c r="C54" s="13"/>
      <c r="D54" s="1"/>
      <c r="E54" s="13"/>
    </row>
    <row r="55" spans="1:6">
      <c r="A55" s="33"/>
      <c r="B55" s="19"/>
      <c r="C55" s="13"/>
      <c r="D55" s="1"/>
      <c r="E55" s="13"/>
    </row>
    <row r="56" spans="1:6">
      <c r="A56" s="33"/>
      <c r="B56" s="3"/>
      <c r="C56" s="13"/>
      <c r="D56" s="1"/>
      <c r="E56" s="13"/>
    </row>
    <row r="57" spans="1:6">
      <c r="A57" s="1"/>
      <c r="C57" s="13"/>
      <c r="D57" s="1"/>
      <c r="E57" s="13"/>
      <c r="F57" s="13"/>
    </row>
    <row r="58" spans="1:6">
      <c r="A58" s="1"/>
      <c r="C58" s="13"/>
      <c r="D58" s="1"/>
      <c r="E58" s="13"/>
    </row>
    <row r="59" spans="1:6">
      <c r="A59" s="1"/>
      <c r="C59" s="13"/>
      <c r="D59" s="1"/>
      <c r="E59" s="13"/>
    </row>
    <row r="60" spans="1:6">
      <c r="A60" s="1"/>
      <c r="C60" s="13"/>
      <c r="D60" s="1"/>
      <c r="E60" s="13"/>
    </row>
    <row r="61" spans="1:6">
      <c r="A61" s="1"/>
      <c r="C61" s="13"/>
      <c r="D61" s="1"/>
      <c r="E61" s="13"/>
    </row>
    <row r="62" spans="1:6">
      <c r="A62" s="1"/>
    </row>
    <row r="63" spans="1:6">
      <c r="A63" s="1"/>
    </row>
    <row r="64" spans="1:6">
      <c r="A64" s="8"/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V84"/>
  <sheetViews>
    <sheetView topLeftCell="A2" workbookViewId="0">
      <selection activeCell="N38" sqref="N38"/>
    </sheetView>
  </sheetViews>
  <sheetFormatPr defaultColWidth="8.85546875" defaultRowHeight="15"/>
  <cols>
    <col min="1" max="1" width="10.42578125" bestFit="1" customWidth="1"/>
    <col min="2" max="2" width="9.85546875" customWidth="1"/>
    <col min="4" max="4" width="15.28515625" customWidth="1"/>
    <col min="5" max="5" width="11.42578125" customWidth="1"/>
    <col min="19" max="20" width="10.42578125" customWidth="1"/>
    <col min="21" max="21" width="12.140625" customWidth="1"/>
    <col min="22" max="22" width="12" customWidth="1"/>
  </cols>
  <sheetData>
    <row r="1" spans="1:22">
      <c r="B1" s="8"/>
    </row>
    <row r="3" spans="1:22">
      <c r="B3" s="8" t="s">
        <v>40</v>
      </c>
      <c r="S3" s="53">
        <v>40441</v>
      </c>
      <c r="T3" s="53">
        <v>40470</v>
      </c>
      <c r="U3" s="54">
        <v>578</v>
      </c>
      <c r="V3" s="54">
        <v>0</v>
      </c>
    </row>
    <row r="4" spans="1:22">
      <c r="B4" s="89" t="s">
        <v>2</v>
      </c>
      <c r="C4" s="89"/>
      <c r="E4" t="s">
        <v>3</v>
      </c>
      <c r="S4" s="53">
        <v>40470</v>
      </c>
      <c r="T4" s="53">
        <v>40499</v>
      </c>
      <c r="U4" s="54">
        <v>592</v>
      </c>
      <c r="V4" s="54">
        <v>0</v>
      </c>
    </row>
    <row r="5" spans="1:22">
      <c r="B5" s="8" t="s">
        <v>34</v>
      </c>
      <c r="C5" s="8"/>
      <c r="D5" t="s">
        <v>4</v>
      </c>
      <c r="E5" t="s">
        <v>5</v>
      </c>
      <c r="F5" t="s">
        <v>1</v>
      </c>
      <c r="G5" t="s">
        <v>6</v>
      </c>
      <c r="S5" s="53">
        <v>40499</v>
      </c>
      <c r="T5" s="53">
        <v>40529</v>
      </c>
      <c r="U5" s="54">
        <v>679</v>
      </c>
      <c r="V5" s="54">
        <v>0</v>
      </c>
    </row>
    <row r="6" spans="1:22" s="8" customFormat="1">
      <c r="A6" s="8" t="s">
        <v>15</v>
      </c>
      <c r="S6" s="53">
        <v>40529</v>
      </c>
      <c r="T6" s="53">
        <v>40564</v>
      </c>
      <c r="U6" s="54">
        <v>857</v>
      </c>
      <c r="V6" s="54">
        <v>0</v>
      </c>
    </row>
    <row r="7" spans="1:22" s="8" customFormat="1">
      <c r="S7" s="53">
        <v>40564</v>
      </c>
      <c r="T7" s="53">
        <v>40590</v>
      </c>
      <c r="U7" s="54">
        <v>614</v>
      </c>
      <c r="V7" s="54">
        <v>0</v>
      </c>
    </row>
    <row r="8" spans="1:22" s="8" customFormat="1">
      <c r="A8" s="1">
        <v>40360</v>
      </c>
      <c r="B8" s="18"/>
      <c r="D8" s="18">
        <f>SUM(B8+C8-E8)</f>
        <v>0</v>
      </c>
      <c r="S8" s="53">
        <v>40590</v>
      </c>
      <c r="T8" s="53">
        <v>40620</v>
      </c>
      <c r="U8" s="54">
        <v>630</v>
      </c>
      <c r="V8" s="54">
        <v>0</v>
      </c>
    </row>
    <row r="9" spans="1:22" s="8" customFormat="1">
      <c r="A9" s="1">
        <v>40391</v>
      </c>
      <c r="B9" s="18"/>
      <c r="D9" s="18">
        <f t="shared" ref="D9:D34" si="0">SUM(B9+C9-E9)</f>
        <v>0</v>
      </c>
      <c r="F9" s="8">
        <f>HDD!B15</f>
        <v>44</v>
      </c>
      <c r="G9" s="8">
        <f>CDD!B8</f>
        <v>263</v>
      </c>
      <c r="S9" s="53">
        <v>40620</v>
      </c>
      <c r="T9" s="53">
        <v>40654</v>
      </c>
      <c r="U9" s="54">
        <v>692</v>
      </c>
      <c r="V9" s="54">
        <v>0</v>
      </c>
    </row>
    <row r="10" spans="1:22" s="8" customFormat="1">
      <c r="A10" s="1">
        <v>40422</v>
      </c>
      <c r="B10" s="18"/>
      <c r="D10" s="18">
        <f t="shared" si="0"/>
        <v>0</v>
      </c>
      <c r="F10" s="8">
        <f>HDD!B16</f>
        <v>112</v>
      </c>
      <c r="G10" s="8">
        <f>CDD!B9</f>
        <v>128</v>
      </c>
      <c r="S10" s="53">
        <v>40654</v>
      </c>
      <c r="T10" s="53">
        <v>40681</v>
      </c>
      <c r="U10" s="54">
        <v>547</v>
      </c>
      <c r="V10" s="54">
        <v>0</v>
      </c>
    </row>
    <row r="11" spans="1:22" s="8" customFormat="1">
      <c r="A11" s="1">
        <v>40452</v>
      </c>
      <c r="B11" s="18">
        <v>578</v>
      </c>
      <c r="D11" s="18">
        <f t="shared" si="0"/>
        <v>578</v>
      </c>
      <c r="F11" s="8">
        <f>HDD!B17</f>
        <v>442</v>
      </c>
      <c r="G11" s="8">
        <f>CDD!B10</f>
        <v>14</v>
      </c>
      <c r="S11" s="53">
        <v>40681</v>
      </c>
      <c r="T11" s="53">
        <v>40715</v>
      </c>
      <c r="U11" s="54">
        <v>543</v>
      </c>
      <c r="V11" s="54">
        <v>0</v>
      </c>
    </row>
    <row r="12" spans="1:22" s="8" customFormat="1">
      <c r="A12" s="1">
        <v>40483</v>
      </c>
      <c r="B12" s="18">
        <v>592</v>
      </c>
      <c r="D12" s="18">
        <f t="shared" si="0"/>
        <v>592</v>
      </c>
      <c r="F12" s="8">
        <f>HDD!B18</f>
        <v>710</v>
      </c>
      <c r="G12" s="8">
        <f>CDD!B11</f>
        <v>0</v>
      </c>
      <c r="S12" s="53">
        <v>40715</v>
      </c>
      <c r="T12" s="53">
        <v>40744</v>
      </c>
      <c r="U12" s="54">
        <v>233</v>
      </c>
      <c r="V12" s="54">
        <v>0</v>
      </c>
    </row>
    <row r="13" spans="1:22">
      <c r="A13" s="1">
        <v>40513</v>
      </c>
      <c r="B13" s="18">
        <v>679</v>
      </c>
      <c r="D13" s="18">
        <f t="shared" si="0"/>
        <v>679</v>
      </c>
      <c r="F13" s="8">
        <f>HDD!B19</f>
        <v>1110</v>
      </c>
      <c r="G13" s="8">
        <f>CDD!B12</f>
        <v>0</v>
      </c>
      <c r="S13" s="53">
        <v>40744</v>
      </c>
      <c r="T13" s="53">
        <v>40774</v>
      </c>
      <c r="U13" s="54">
        <v>289</v>
      </c>
      <c r="V13" s="54">
        <v>0</v>
      </c>
    </row>
    <row r="14" spans="1:22">
      <c r="A14" s="1">
        <v>40544</v>
      </c>
      <c r="B14" s="18">
        <v>857</v>
      </c>
      <c r="C14" s="16"/>
      <c r="D14" s="18">
        <f t="shared" si="0"/>
        <v>857</v>
      </c>
      <c r="E14" s="16"/>
      <c r="F14" s="8">
        <f>HDD!B20</f>
        <v>1298</v>
      </c>
      <c r="G14" s="8">
        <f>CDD!B13</f>
        <v>0</v>
      </c>
      <c r="S14" s="53">
        <v>40774</v>
      </c>
      <c r="T14" s="53">
        <v>40805</v>
      </c>
      <c r="U14" s="54">
        <v>262</v>
      </c>
      <c r="V14" s="54">
        <v>0</v>
      </c>
    </row>
    <row r="15" spans="1:22">
      <c r="A15" s="1">
        <v>40575</v>
      </c>
      <c r="B15" s="18">
        <v>614</v>
      </c>
      <c r="C15" s="16"/>
      <c r="D15" s="18">
        <f t="shared" si="0"/>
        <v>614</v>
      </c>
      <c r="E15" s="16"/>
      <c r="F15" s="8">
        <f>HDD!B21</f>
        <v>1070</v>
      </c>
      <c r="G15" s="8">
        <f>CDD!B14</f>
        <v>0</v>
      </c>
      <c r="S15" s="53">
        <v>40805</v>
      </c>
      <c r="T15" s="53">
        <v>40834</v>
      </c>
      <c r="U15" s="54">
        <v>207</v>
      </c>
      <c r="V15" s="54">
        <v>0</v>
      </c>
    </row>
    <row r="16" spans="1:22">
      <c r="A16" s="1">
        <v>40603</v>
      </c>
      <c r="B16" s="18">
        <v>630</v>
      </c>
      <c r="C16" s="16"/>
      <c r="D16" s="18">
        <f t="shared" si="0"/>
        <v>630</v>
      </c>
      <c r="E16" s="16"/>
      <c r="F16" s="8">
        <f>HDD!B22</f>
        <v>884</v>
      </c>
      <c r="G16" s="8">
        <f>CDD!B15</f>
        <v>0</v>
      </c>
      <c r="H16" s="8" t="s">
        <v>35</v>
      </c>
      <c r="S16" s="53">
        <v>40834</v>
      </c>
      <c r="T16" s="53">
        <v>40864</v>
      </c>
      <c r="U16" s="54">
        <v>417</v>
      </c>
      <c r="V16" s="54">
        <v>0</v>
      </c>
    </row>
    <row r="17" spans="1:22">
      <c r="A17" s="1">
        <v>40634</v>
      </c>
      <c r="B17" s="18">
        <v>692</v>
      </c>
      <c r="C17" s="16"/>
      <c r="D17" s="18">
        <f t="shared" si="0"/>
        <v>692</v>
      </c>
      <c r="E17" s="16"/>
      <c r="F17" s="8">
        <f>HDD!B23</f>
        <v>502</v>
      </c>
      <c r="G17" s="8">
        <f>CDD!B16</f>
        <v>12</v>
      </c>
      <c r="S17" s="53">
        <v>40864</v>
      </c>
      <c r="T17" s="53">
        <v>40897</v>
      </c>
      <c r="U17" s="54">
        <v>806</v>
      </c>
      <c r="V17" s="54">
        <v>0</v>
      </c>
    </row>
    <row r="18" spans="1:22">
      <c r="A18" s="1">
        <v>40664</v>
      </c>
      <c r="B18" s="18">
        <v>547</v>
      </c>
      <c r="C18" s="16"/>
      <c r="D18" s="18">
        <f t="shared" si="0"/>
        <v>547</v>
      </c>
      <c r="E18" s="16"/>
      <c r="F18" s="8">
        <f>HDD!B24</f>
        <v>268</v>
      </c>
      <c r="G18" s="8">
        <f>CDD!B17</f>
        <v>63</v>
      </c>
      <c r="S18" s="53">
        <v>40897</v>
      </c>
      <c r="T18" s="53">
        <v>40928</v>
      </c>
      <c r="U18" s="55">
        <v>1081</v>
      </c>
      <c r="V18" s="54">
        <v>0</v>
      </c>
    </row>
    <row r="19" spans="1:22">
      <c r="A19" s="1">
        <v>40695</v>
      </c>
      <c r="B19" s="18">
        <v>543</v>
      </c>
      <c r="C19" s="16"/>
      <c r="D19" s="18">
        <f t="shared" si="0"/>
        <v>543</v>
      </c>
      <c r="E19" s="16"/>
      <c r="F19" s="8">
        <f>HDD!B25</f>
        <v>113</v>
      </c>
      <c r="G19" s="8">
        <f>CDD!B18</f>
        <v>122</v>
      </c>
      <c r="S19" s="53">
        <v>40928</v>
      </c>
      <c r="T19" s="53">
        <v>40956</v>
      </c>
      <c r="U19" s="54">
        <v>879</v>
      </c>
      <c r="V19" s="54">
        <v>0</v>
      </c>
    </row>
    <row r="20" spans="1:22">
      <c r="A20" s="1">
        <v>40725</v>
      </c>
      <c r="B20" s="18">
        <v>233</v>
      </c>
      <c r="C20" s="16"/>
      <c r="D20" s="18">
        <f t="shared" si="0"/>
        <v>233</v>
      </c>
      <c r="E20" s="16"/>
      <c r="F20" s="8">
        <f>HDD!B26</f>
        <v>20</v>
      </c>
      <c r="G20" s="8">
        <f>CDD!B19</f>
        <v>309</v>
      </c>
      <c r="S20" s="53">
        <v>40956</v>
      </c>
      <c r="T20" s="53">
        <v>40988</v>
      </c>
      <c r="U20" s="54">
        <v>941</v>
      </c>
      <c r="V20" s="54">
        <v>0</v>
      </c>
    </row>
    <row r="21" spans="1:22">
      <c r="A21" s="1">
        <v>40756</v>
      </c>
      <c r="B21" s="18">
        <v>289</v>
      </c>
      <c r="C21" s="16"/>
      <c r="D21" s="18">
        <f t="shared" si="0"/>
        <v>289</v>
      </c>
      <c r="E21" s="16"/>
      <c r="F21" s="8">
        <f>HDD!B27</f>
        <v>31</v>
      </c>
      <c r="G21" s="8">
        <f>CDD!B20</f>
        <v>202</v>
      </c>
      <c r="S21" s="53">
        <v>40988</v>
      </c>
      <c r="T21" s="53">
        <v>41018</v>
      </c>
      <c r="U21" s="54">
        <v>682</v>
      </c>
      <c r="V21" s="54">
        <v>0</v>
      </c>
    </row>
    <row r="22" spans="1:22">
      <c r="A22" s="1">
        <v>40787</v>
      </c>
      <c r="B22" s="18">
        <v>262</v>
      </c>
      <c r="C22" s="16"/>
      <c r="D22" s="18">
        <f t="shared" si="0"/>
        <v>262</v>
      </c>
      <c r="E22" s="16"/>
      <c r="F22" s="8">
        <f>HDD!B28</f>
        <v>108</v>
      </c>
      <c r="G22" s="8">
        <f>CDD!B21</f>
        <v>105</v>
      </c>
      <c r="S22" s="53">
        <v>41018</v>
      </c>
      <c r="T22" s="53">
        <v>41051</v>
      </c>
      <c r="U22" s="54">
        <v>782</v>
      </c>
      <c r="V22" s="54">
        <v>0</v>
      </c>
    </row>
    <row r="23" spans="1:22">
      <c r="A23" s="1">
        <v>40817</v>
      </c>
      <c r="B23" s="18">
        <v>207</v>
      </c>
      <c r="C23" s="16"/>
      <c r="D23" s="18">
        <f t="shared" si="0"/>
        <v>207</v>
      </c>
      <c r="E23" s="16"/>
      <c r="F23" s="8">
        <f>HDD!B29</f>
        <v>418</v>
      </c>
      <c r="G23" s="8">
        <f>CDD!B22</f>
        <v>15</v>
      </c>
      <c r="S23" s="53">
        <v>41051</v>
      </c>
      <c r="T23" s="53">
        <v>41080</v>
      </c>
      <c r="U23" s="54">
        <v>940</v>
      </c>
      <c r="V23" s="54">
        <v>0</v>
      </c>
    </row>
    <row r="24" spans="1:22">
      <c r="A24" s="1">
        <v>40848</v>
      </c>
      <c r="B24" s="18">
        <v>417</v>
      </c>
      <c r="C24" s="16"/>
      <c r="D24" s="18">
        <f t="shared" si="0"/>
        <v>417</v>
      </c>
      <c r="E24" s="16"/>
      <c r="F24" s="8">
        <f>HDD!B30</f>
        <v>563</v>
      </c>
      <c r="G24" s="8">
        <f>CDD!B23</f>
        <v>2</v>
      </c>
      <c r="S24" s="53">
        <v>41080</v>
      </c>
      <c r="T24" s="53">
        <v>41110</v>
      </c>
      <c r="U24" s="55">
        <v>1389</v>
      </c>
      <c r="V24" s="54">
        <v>0</v>
      </c>
    </row>
    <row r="25" spans="1:22">
      <c r="A25" s="1">
        <v>40878</v>
      </c>
      <c r="B25" s="18">
        <v>806</v>
      </c>
      <c r="C25" s="16"/>
      <c r="D25" s="18">
        <f t="shared" si="0"/>
        <v>806</v>
      </c>
      <c r="E25" s="16"/>
      <c r="F25" s="8">
        <f>HDD!B31</f>
        <v>882</v>
      </c>
      <c r="G25" s="8">
        <f>CDD!B24</f>
        <v>0</v>
      </c>
      <c r="H25" s="8" t="s">
        <v>33</v>
      </c>
      <c r="S25" s="53">
        <v>41110</v>
      </c>
      <c r="T25" s="53">
        <v>41143</v>
      </c>
      <c r="U25" s="55">
        <v>1266</v>
      </c>
      <c r="V25" s="54">
        <v>0</v>
      </c>
    </row>
    <row r="26" spans="1:22">
      <c r="A26" s="1">
        <v>40909</v>
      </c>
      <c r="B26" s="18">
        <v>1081</v>
      </c>
      <c r="C26" s="16"/>
      <c r="D26" s="18">
        <f t="shared" si="0"/>
        <v>1081</v>
      </c>
      <c r="E26" s="16"/>
      <c r="F26" s="8">
        <f>HDD!B32</f>
        <v>1053</v>
      </c>
      <c r="G26" s="8">
        <f>CDD!B25</f>
        <v>0</v>
      </c>
    </row>
    <row r="27" spans="1:22">
      <c r="A27" s="1">
        <v>40940</v>
      </c>
      <c r="B27" s="18">
        <v>879</v>
      </c>
      <c r="C27" s="16"/>
      <c r="D27" s="18">
        <f t="shared" si="0"/>
        <v>879</v>
      </c>
      <c r="E27" s="16"/>
      <c r="F27" s="8">
        <f>HDD!B33</f>
        <v>895</v>
      </c>
      <c r="G27" s="8">
        <f>CDD!B26</f>
        <v>0</v>
      </c>
    </row>
    <row r="28" spans="1:22">
      <c r="A28" s="1">
        <v>40969</v>
      </c>
      <c r="B28" s="18">
        <v>941</v>
      </c>
      <c r="C28" s="16"/>
      <c r="D28" s="18">
        <f t="shared" si="0"/>
        <v>941</v>
      </c>
      <c r="E28" s="16"/>
      <c r="F28" s="8">
        <f>HDD!B34</f>
        <v>652</v>
      </c>
      <c r="G28" s="8">
        <f>CDD!B27</f>
        <v>23</v>
      </c>
    </row>
    <row r="29" spans="1:22">
      <c r="A29" s="1">
        <v>41000</v>
      </c>
      <c r="B29" s="18">
        <v>682</v>
      </c>
      <c r="C29" s="16"/>
      <c r="D29" s="18">
        <f t="shared" si="0"/>
        <v>682</v>
      </c>
      <c r="E29" s="16"/>
      <c r="F29" s="8">
        <f>HDD!B35</f>
        <v>463</v>
      </c>
      <c r="G29" s="8">
        <f>CDD!B28</f>
        <v>26</v>
      </c>
    </row>
    <row r="30" spans="1:22">
      <c r="A30" s="1">
        <v>41030</v>
      </c>
      <c r="B30" s="18">
        <v>782</v>
      </c>
      <c r="C30" s="16"/>
      <c r="D30" s="18">
        <f t="shared" si="0"/>
        <v>782</v>
      </c>
      <c r="E30" s="16"/>
      <c r="F30" s="8">
        <f>HDD!B36</f>
        <v>208</v>
      </c>
      <c r="G30" s="8">
        <f>CDD!B29</f>
        <v>60</v>
      </c>
    </row>
    <row r="31" spans="1:22">
      <c r="A31" s="1">
        <v>41061</v>
      </c>
      <c r="B31" s="18">
        <v>940</v>
      </c>
      <c r="C31" s="16"/>
      <c r="D31" s="18">
        <f t="shared" si="0"/>
        <v>940</v>
      </c>
      <c r="E31" s="16"/>
      <c r="F31" s="8">
        <f>HDD!B37</f>
        <v>121</v>
      </c>
      <c r="G31" s="8">
        <f>CDD!B30</f>
        <v>128</v>
      </c>
      <c r="H31" s="8"/>
    </row>
    <row r="32" spans="1:22">
      <c r="A32" s="1">
        <v>41091</v>
      </c>
      <c r="B32" s="18">
        <v>1389</v>
      </c>
      <c r="C32" s="3"/>
      <c r="D32" s="18">
        <f t="shared" si="0"/>
        <v>1389</v>
      </c>
      <c r="E32" s="3"/>
      <c r="F32" s="8">
        <f>HDD!B38</f>
        <v>22</v>
      </c>
      <c r="G32" s="8">
        <f>CDD!B31</f>
        <v>291</v>
      </c>
    </row>
    <row r="33" spans="1:22">
      <c r="A33" s="1">
        <v>41122</v>
      </c>
      <c r="B33" s="34">
        <v>1266</v>
      </c>
      <c r="C33" s="3"/>
      <c r="D33" s="18">
        <f t="shared" si="0"/>
        <v>1266</v>
      </c>
      <c r="E33" s="3"/>
      <c r="F33" s="8">
        <f>HDD!B39</f>
        <v>27</v>
      </c>
      <c r="G33" s="8">
        <f>CDD!B32</f>
        <v>267</v>
      </c>
    </row>
    <row r="34" spans="1:22">
      <c r="A34" s="1">
        <v>41153</v>
      </c>
      <c r="B34" s="83">
        <v>930</v>
      </c>
      <c r="D34" s="18">
        <f t="shared" si="0"/>
        <v>930</v>
      </c>
      <c r="F34" s="8">
        <f>HDD!B40</f>
        <v>169</v>
      </c>
      <c r="G34" s="8">
        <f>CDD!B33</f>
        <v>81</v>
      </c>
    </row>
    <row r="42" spans="1:22" s="8" customFormat="1">
      <c r="U42" s="9"/>
      <c r="V42" s="9"/>
    </row>
    <row r="43" spans="1:22" s="8" customFormat="1"/>
    <row r="44" spans="1:22" s="8" customFormat="1"/>
    <row r="45" spans="1:22" s="8" customFormat="1"/>
    <row r="46" spans="1:22" s="8" customFormat="1"/>
    <row r="47" spans="1:22" s="8" customFormat="1"/>
    <row r="48" spans="1:22" s="8" customFormat="1"/>
    <row r="49" spans="1:1" s="8" customFormat="1"/>
    <row r="50" spans="1:1" s="8" customFormat="1"/>
    <row r="51" spans="1:1" s="8" customFormat="1"/>
    <row r="52" spans="1:1" s="8" customFormat="1"/>
    <row r="53" spans="1:1" s="8" customFormat="1"/>
    <row r="54" spans="1:1" s="8" customFormat="1"/>
    <row r="55" spans="1:1" s="8" customFormat="1"/>
    <row r="56" spans="1:1" s="8" customFormat="1"/>
    <row r="57" spans="1:1" s="8" customFormat="1"/>
    <row r="58" spans="1:1" s="8" customFormat="1"/>
    <row r="59" spans="1:1">
      <c r="A59" s="8"/>
    </row>
    <row r="61" spans="1:1">
      <c r="A61" s="8"/>
    </row>
    <row r="62" spans="1:1">
      <c r="A62" s="8"/>
    </row>
    <row r="63" spans="1:1">
      <c r="A63" s="8"/>
    </row>
    <row r="64" spans="1:1">
      <c r="A64" s="8"/>
    </row>
    <row r="65" spans="1:9">
      <c r="A65" s="8"/>
    </row>
    <row r="66" spans="1:9">
      <c r="A66" s="8"/>
    </row>
    <row r="67" spans="1:9">
      <c r="A67" s="8"/>
    </row>
    <row r="68" spans="1:9">
      <c r="G68" s="13"/>
      <c r="I68" s="8"/>
    </row>
    <row r="69" spans="1:9">
      <c r="I69" s="8"/>
    </row>
    <row r="70" spans="1:9">
      <c r="I70" s="8"/>
    </row>
    <row r="71" spans="1:9">
      <c r="I71" s="8"/>
    </row>
    <row r="72" spans="1:9">
      <c r="I72" s="8"/>
    </row>
    <row r="73" spans="1:9">
      <c r="I73" s="8"/>
    </row>
    <row r="74" spans="1:9">
      <c r="I74" s="8"/>
    </row>
    <row r="75" spans="1:9">
      <c r="I75" s="8"/>
    </row>
    <row r="76" spans="1:9">
      <c r="I76" s="8"/>
    </row>
    <row r="77" spans="1:9">
      <c r="I77" s="8"/>
    </row>
    <row r="78" spans="1:9">
      <c r="I78" s="8"/>
    </row>
    <row r="79" spans="1:9">
      <c r="I79" s="8"/>
    </row>
    <row r="80" spans="1:9">
      <c r="I80" s="8"/>
    </row>
    <row r="81" spans="9:9">
      <c r="I81" s="8"/>
    </row>
    <row r="82" spans="9:9">
      <c r="I82" s="8"/>
    </row>
    <row r="83" spans="9:9">
      <c r="I83" s="8"/>
    </row>
    <row r="84" spans="9:9">
      <c r="I84" s="8"/>
    </row>
  </sheetData>
  <mergeCells count="1">
    <mergeCell ref="B4:C4"/>
  </mergeCells>
  <pageMargins left="0.7" right="0.7" top="0.75" bottom="0.75" header="0.3" footer="0.3"/>
  <pageSetup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AA41"/>
  <sheetViews>
    <sheetView tabSelected="1" workbookViewId="0">
      <selection activeCell="S32" sqref="S32"/>
    </sheetView>
  </sheetViews>
  <sheetFormatPr defaultColWidth="8.85546875" defaultRowHeight="15"/>
  <cols>
    <col min="8" max="9" width="8.85546875" style="8"/>
    <col min="18" max="18" width="8.85546875" style="8"/>
    <col min="25" max="25" width="8.85546875" style="8"/>
  </cols>
  <sheetData>
    <row r="1" spans="2:27">
      <c r="C1" s="8" t="s">
        <v>26</v>
      </c>
      <c r="E1" s="13">
        <f>1/E3</f>
        <v>292.99736302373282</v>
      </c>
    </row>
    <row r="2" spans="2:27">
      <c r="C2" s="8" t="s">
        <v>23</v>
      </c>
      <c r="E2" s="11">
        <f>100000/1000000</f>
        <v>0.1</v>
      </c>
    </row>
    <row r="3" spans="2:27">
      <c r="C3" s="8" t="s">
        <v>22</v>
      </c>
      <c r="E3">
        <f>3413/1000000</f>
        <v>3.4129999999999998E-3</v>
      </c>
    </row>
    <row r="4" spans="2:27">
      <c r="B4" s="8" t="s">
        <v>25</v>
      </c>
      <c r="E4">
        <v>3.34</v>
      </c>
    </row>
    <row r="5" spans="2:27">
      <c r="B5" s="8" t="s">
        <v>24</v>
      </c>
      <c r="E5">
        <v>1.0469999999999999</v>
      </c>
    </row>
    <row r="6" spans="2:27">
      <c r="W6" s="8" t="s">
        <v>29</v>
      </c>
      <c r="Z6" s="8" t="s">
        <v>32</v>
      </c>
    </row>
    <row r="7" spans="2:27">
      <c r="J7" s="8"/>
      <c r="K7" s="89" t="s">
        <v>2</v>
      </c>
      <c r="L7" s="89"/>
      <c r="M7" s="8" t="s">
        <v>27</v>
      </c>
      <c r="N7" s="8"/>
      <c r="O7" s="8"/>
      <c r="P7" s="8" t="s">
        <v>28</v>
      </c>
      <c r="R7" s="8" t="s">
        <v>19</v>
      </c>
      <c r="S7" s="8" t="s">
        <v>20</v>
      </c>
    </row>
    <row r="8" spans="2:27">
      <c r="B8" s="8"/>
      <c r="C8" s="8" t="s">
        <v>0</v>
      </c>
      <c r="D8" s="8" t="s">
        <v>19</v>
      </c>
      <c r="E8" s="8" t="s">
        <v>20</v>
      </c>
      <c r="G8" s="8" t="s">
        <v>18</v>
      </c>
      <c r="H8" s="8" t="s">
        <v>21</v>
      </c>
      <c r="J8" s="8"/>
      <c r="K8" s="14" t="str">
        <f>Elec!B5</f>
        <v>House</v>
      </c>
      <c r="L8" s="15">
        <f>Elec!C5</f>
        <v>0</v>
      </c>
      <c r="M8" s="8" t="s">
        <v>4</v>
      </c>
      <c r="N8" s="8" t="s">
        <v>5</v>
      </c>
      <c r="T8" s="8" t="s">
        <v>1</v>
      </c>
      <c r="U8" s="8" t="s">
        <v>6</v>
      </c>
      <c r="W8" s="8" t="s">
        <v>30</v>
      </c>
      <c r="X8" s="8" t="s">
        <v>31</v>
      </c>
      <c r="Z8" s="8" t="s">
        <v>30</v>
      </c>
      <c r="AA8" s="8" t="s">
        <v>31</v>
      </c>
    </row>
    <row r="9" spans="2:27" s="8" customFormat="1"/>
    <row r="10" spans="2:27" s="8" customFormat="1">
      <c r="B10" s="1">
        <v>40452</v>
      </c>
      <c r="C10" s="26">
        <f>Gas!C9</f>
        <v>47</v>
      </c>
      <c r="D10" s="12">
        <f t="shared" ref="D10:D12" si="0">C10*E$2</f>
        <v>4.7</v>
      </c>
      <c r="E10" s="13">
        <f t="shared" ref="E10:E12" si="1">D10*E$5</f>
        <v>4.9208999999999996</v>
      </c>
      <c r="G10" s="13">
        <f t="shared" ref="G10:G12" si="2">D10*E$1</f>
        <v>1377.0876062115442</v>
      </c>
      <c r="H10" s="13">
        <f t="shared" ref="H10:H12" si="3">E10*E$1</f>
        <v>1441.8107237034867</v>
      </c>
      <c r="J10" s="1">
        <v>40452</v>
      </c>
      <c r="K10" s="52">
        <f>Elec!D11</f>
        <v>578</v>
      </c>
      <c r="L10" s="16">
        <f>Elec!C8</f>
        <v>0</v>
      </c>
      <c r="M10" s="13">
        <f t="shared" ref="M10:M12" si="4">SUM(K10+L10)</f>
        <v>578</v>
      </c>
      <c r="N10" s="2">
        <f>-(Elec!E8)</f>
        <v>0</v>
      </c>
      <c r="P10" s="13">
        <f t="shared" ref="P10:P12" si="5">((M10-N10)*E$4)+N10</f>
        <v>1930.52</v>
      </c>
      <c r="R10" s="13">
        <f t="shared" ref="R10:R12" si="6">M10*E$3</f>
        <v>1.9727139999999999</v>
      </c>
      <c r="S10" s="13">
        <f t="shared" ref="S10:S12" si="7">((M10-N10)*E$4+N10)*E$3</f>
        <v>6.5888647599999999</v>
      </c>
      <c r="T10" s="8">
        <f>HDD!B17</f>
        <v>442</v>
      </c>
      <c r="U10" s="8">
        <f>CDD!B10</f>
        <v>14</v>
      </c>
      <c r="W10" s="13">
        <f t="shared" ref="W10:W12" si="8">G10+M10</f>
        <v>1955.0876062115442</v>
      </c>
      <c r="X10" s="13">
        <f t="shared" ref="X10:X12" si="9">H10+P10</f>
        <v>3372.3307237034869</v>
      </c>
      <c r="Y10" s="13"/>
      <c r="Z10" s="13">
        <f t="shared" ref="Z10:Z12" si="10">D10+R10</f>
        <v>6.672714</v>
      </c>
      <c r="AA10" s="13">
        <f t="shared" ref="AA10:AA12" si="11">E10+S10</f>
        <v>11.509764759999999</v>
      </c>
    </row>
    <row r="11" spans="2:27" s="8" customFormat="1">
      <c r="B11" s="1">
        <v>40483</v>
      </c>
      <c r="C11" s="26">
        <f>Gas!C10</f>
        <v>105</v>
      </c>
      <c r="D11" s="12">
        <f t="shared" si="0"/>
        <v>10.5</v>
      </c>
      <c r="E11" s="13">
        <f t="shared" si="1"/>
        <v>10.993499999999999</v>
      </c>
      <c r="G11" s="13">
        <f t="shared" si="2"/>
        <v>3076.4723117491944</v>
      </c>
      <c r="H11" s="13">
        <f t="shared" si="3"/>
        <v>3221.0665104014065</v>
      </c>
      <c r="J11" s="1">
        <v>40483</v>
      </c>
      <c r="K11" s="52">
        <f>Elec!D12</f>
        <v>592</v>
      </c>
      <c r="L11" s="16">
        <f>Elec!C12</f>
        <v>0</v>
      </c>
      <c r="M11" s="13">
        <f t="shared" si="4"/>
        <v>592</v>
      </c>
      <c r="N11" s="2">
        <f>-(Elec!E12)</f>
        <v>0</v>
      </c>
      <c r="P11" s="13">
        <f t="shared" si="5"/>
        <v>1977.28</v>
      </c>
      <c r="R11" s="13">
        <f t="shared" si="6"/>
        <v>2.0204960000000001</v>
      </c>
      <c r="S11" s="13">
        <f t="shared" si="7"/>
        <v>6.7484566399999997</v>
      </c>
      <c r="T11" s="8">
        <f>HDD!B18</f>
        <v>710</v>
      </c>
      <c r="U11" s="8">
        <f>CDD!B11</f>
        <v>0</v>
      </c>
      <c r="W11" s="13">
        <f t="shared" si="8"/>
        <v>3668.4723117491944</v>
      </c>
      <c r="X11" s="13">
        <f t="shared" si="9"/>
        <v>5198.3465104014067</v>
      </c>
      <c r="Y11" s="13"/>
      <c r="Z11" s="13">
        <f t="shared" si="10"/>
        <v>12.520496</v>
      </c>
      <c r="AA11" s="13">
        <f t="shared" si="11"/>
        <v>17.741956639999998</v>
      </c>
    </row>
    <row r="12" spans="2:27">
      <c r="B12" s="1">
        <v>40513</v>
      </c>
      <c r="C12" s="26">
        <f>Gas!C11</f>
        <v>195</v>
      </c>
      <c r="D12" s="12">
        <f t="shared" si="0"/>
        <v>19.5</v>
      </c>
      <c r="E12" s="13">
        <f t="shared" si="1"/>
        <v>20.416499999999999</v>
      </c>
      <c r="G12" s="13">
        <f t="shared" si="2"/>
        <v>5713.4485789627897</v>
      </c>
      <c r="H12" s="13">
        <f t="shared" si="3"/>
        <v>5981.9806621740408</v>
      </c>
      <c r="J12" s="1">
        <v>40513</v>
      </c>
      <c r="K12" s="52">
        <f>Elec!D13</f>
        <v>679</v>
      </c>
      <c r="L12" s="16">
        <f>Elec!C13</f>
        <v>0</v>
      </c>
      <c r="M12" s="13">
        <f t="shared" si="4"/>
        <v>679</v>
      </c>
      <c r="N12" s="2">
        <f>-(Elec!E13)</f>
        <v>0</v>
      </c>
      <c r="P12" s="13">
        <f t="shared" si="5"/>
        <v>2267.86</v>
      </c>
      <c r="Q12" s="8"/>
      <c r="R12" s="13">
        <f t="shared" si="6"/>
        <v>2.3174269999999999</v>
      </c>
      <c r="S12" s="13">
        <f t="shared" si="7"/>
        <v>7.7402061800000004</v>
      </c>
      <c r="T12" s="8">
        <f>HDD!B19</f>
        <v>1110</v>
      </c>
      <c r="U12" s="8">
        <f>CDD!B12</f>
        <v>0</v>
      </c>
      <c r="V12" s="8"/>
      <c r="W12" s="13">
        <f t="shared" si="8"/>
        <v>6392.4485789627897</v>
      </c>
      <c r="X12" s="13">
        <f t="shared" si="9"/>
        <v>8249.8406621740414</v>
      </c>
      <c r="Y12" s="13"/>
      <c r="Z12" s="13">
        <f t="shared" si="10"/>
        <v>21.817426999999999</v>
      </c>
      <c r="AA12" s="13">
        <f t="shared" si="11"/>
        <v>28.15670618</v>
      </c>
    </row>
    <row r="13" spans="2:27">
      <c r="B13" s="1">
        <v>40544</v>
      </c>
      <c r="C13" s="26">
        <f>Gas!C12</f>
        <v>232</v>
      </c>
      <c r="D13" s="12">
        <f>C13*E$2</f>
        <v>23.200000000000003</v>
      </c>
      <c r="E13" s="13">
        <f t="shared" ref="E13:E31" si="12">D13*E$5</f>
        <v>24.290400000000002</v>
      </c>
      <c r="G13" s="13">
        <f t="shared" ref="G13:G31" si="13">D13*E$1</f>
        <v>6797.5388221506018</v>
      </c>
      <c r="H13" s="13">
        <f t="shared" ref="H13:H31" si="14">E13*E$1</f>
        <v>7117.0231467916801</v>
      </c>
      <c r="I13" s="13"/>
      <c r="J13" s="1">
        <v>40544</v>
      </c>
      <c r="K13" s="52">
        <f>Elec!D14</f>
        <v>857</v>
      </c>
      <c r="L13" s="16">
        <f>Elec!C14</f>
        <v>0</v>
      </c>
      <c r="M13" s="13">
        <f>SUM(K13+L13)</f>
        <v>857</v>
      </c>
      <c r="N13" s="2">
        <f>-(Elec!E14)</f>
        <v>0</v>
      </c>
      <c r="P13" s="13">
        <f>((M13-N13)*E$4)+N13</f>
        <v>2862.3799999999997</v>
      </c>
      <c r="R13" s="13">
        <f>M13*E$3</f>
        <v>2.924941</v>
      </c>
      <c r="S13" s="13">
        <f>((M13-N13)*E$4+N13)*E$3</f>
        <v>9.7693029399999975</v>
      </c>
      <c r="T13" s="8">
        <f>HDD!B20</f>
        <v>1298</v>
      </c>
      <c r="U13" s="8">
        <f>CDD!B13</f>
        <v>0</v>
      </c>
      <c r="W13" s="13">
        <f>G13+M13</f>
        <v>7654.5388221506018</v>
      </c>
      <c r="X13" s="13">
        <f>H13+P13</f>
        <v>9979.4031467916793</v>
      </c>
      <c r="Y13" s="13"/>
      <c r="Z13" s="13">
        <f>D13+R13</f>
        <v>26.124941000000003</v>
      </c>
      <c r="AA13" s="13">
        <f>E13+S13</f>
        <v>34.059702940000001</v>
      </c>
    </row>
    <row r="14" spans="2:27">
      <c r="B14" s="1">
        <v>40575</v>
      </c>
      <c r="C14" s="26">
        <f>Gas!C13</f>
        <v>192</v>
      </c>
      <c r="D14" s="12">
        <f t="shared" ref="D14:D31" si="15">C14*E$2</f>
        <v>19.200000000000003</v>
      </c>
      <c r="E14" s="13">
        <f t="shared" si="12"/>
        <v>20.102400000000003</v>
      </c>
      <c r="G14" s="13">
        <f t="shared" si="13"/>
        <v>5625.5493700556708</v>
      </c>
      <c r="H14" s="13">
        <f t="shared" si="14"/>
        <v>5889.9501904482877</v>
      </c>
      <c r="I14" s="13"/>
      <c r="J14" s="1">
        <v>40575</v>
      </c>
      <c r="K14" s="52">
        <f>Elec!D15</f>
        <v>614</v>
      </c>
      <c r="L14" s="16">
        <f>Elec!C15</f>
        <v>0</v>
      </c>
      <c r="M14" s="13">
        <f t="shared" ref="M14:M31" si="16">SUM(K14+L14)</f>
        <v>614</v>
      </c>
      <c r="N14" s="2">
        <f>-(Elec!E15)</f>
        <v>0</v>
      </c>
      <c r="P14" s="13">
        <f t="shared" ref="P14:P31" si="17">((M14-N14)*E$4)+N14</f>
        <v>2050.7599999999998</v>
      </c>
      <c r="R14" s="13">
        <f t="shared" ref="R14:R31" si="18">M14*E$3</f>
        <v>2.0955819999999998</v>
      </c>
      <c r="S14" s="13">
        <f t="shared" ref="S14:S31" si="19">((M14-N14)*E$4+N14)*E$3</f>
        <v>6.999243879999999</v>
      </c>
      <c r="T14" s="8">
        <f>HDD!B21</f>
        <v>1070</v>
      </c>
      <c r="U14" s="8">
        <f>CDD!B14</f>
        <v>0</v>
      </c>
      <c r="W14" s="13">
        <f t="shared" ref="W14:W31" si="20">G14+M14</f>
        <v>6239.5493700556708</v>
      </c>
      <c r="X14" s="13">
        <f t="shared" ref="X14:X31" si="21">H14+P14</f>
        <v>7940.7101904482879</v>
      </c>
      <c r="Y14" s="13"/>
      <c r="Z14" s="13">
        <f t="shared" ref="Z14:Z31" si="22">D14+R14</f>
        <v>21.295582000000003</v>
      </c>
      <c r="AA14" s="13">
        <f t="shared" ref="AA14:AA31" si="23">E14+S14</f>
        <v>27.101643880000001</v>
      </c>
    </row>
    <row r="15" spans="2:27">
      <c r="B15" s="1">
        <v>40603</v>
      </c>
      <c r="C15" s="26">
        <f>Gas!C14</f>
        <v>181</v>
      </c>
      <c r="D15" s="12">
        <f t="shared" si="15"/>
        <v>18.100000000000001</v>
      </c>
      <c r="E15" s="13">
        <f t="shared" si="12"/>
        <v>18.950700000000001</v>
      </c>
      <c r="G15" s="13">
        <f t="shared" si="13"/>
        <v>5303.2522707295648</v>
      </c>
      <c r="H15" s="13">
        <f t="shared" si="14"/>
        <v>5552.5051274538537</v>
      </c>
      <c r="I15" s="13"/>
      <c r="J15" s="1">
        <v>40603</v>
      </c>
      <c r="K15" s="52">
        <f>Elec!D16</f>
        <v>630</v>
      </c>
      <c r="L15" s="16">
        <f>Elec!C16</f>
        <v>0</v>
      </c>
      <c r="M15" s="13">
        <f t="shared" si="16"/>
        <v>630</v>
      </c>
      <c r="N15" s="2">
        <f>-(Elec!E16)</f>
        <v>0</v>
      </c>
      <c r="P15" s="13">
        <f t="shared" si="17"/>
        <v>2104.1999999999998</v>
      </c>
      <c r="R15" s="13">
        <f t="shared" si="18"/>
        <v>2.1501899999999998</v>
      </c>
      <c r="S15" s="13">
        <f t="shared" si="19"/>
        <v>7.1816345999999989</v>
      </c>
      <c r="T15" s="8">
        <f>HDD!B22</f>
        <v>884</v>
      </c>
      <c r="U15" s="8">
        <f>CDD!B15</f>
        <v>0</v>
      </c>
      <c r="W15" s="13">
        <f t="shared" si="20"/>
        <v>5933.2522707295648</v>
      </c>
      <c r="X15" s="13">
        <f t="shared" si="21"/>
        <v>7656.7051274538535</v>
      </c>
      <c r="Y15" s="13"/>
      <c r="Z15" s="13">
        <f t="shared" si="22"/>
        <v>20.25019</v>
      </c>
      <c r="AA15" s="13">
        <f t="shared" si="23"/>
        <v>26.1323346</v>
      </c>
    </row>
    <row r="16" spans="2:27">
      <c r="B16" s="1">
        <v>40634</v>
      </c>
      <c r="C16" s="26">
        <f>Gas!C15</f>
        <v>138</v>
      </c>
      <c r="D16" s="12">
        <f t="shared" si="15"/>
        <v>13.8</v>
      </c>
      <c r="E16" s="13">
        <f t="shared" si="12"/>
        <v>14.448599999999999</v>
      </c>
      <c r="G16" s="13">
        <f t="shared" si="13"/>
        <v>4043.363609727513</v>
      </c>
      <c r="H16" s="13">
        <f t="shared" si="14"/>
        <v>4233.4016993847054</v>
      </c>
      <c r="I16" s="13"/>
      <c r="J16" s="1">
        <v>40634</v>
      </c>
      <c r="K16" s="52">
        <f>Elec!D17</f>
        <v>692</v>
      </c>
      <c r="L16" s="16">
        <f>Elec!C17</f>
        <v>0</v>
      </c>
      <c r="M16" s="13">
        <f t="shared" si="16"/>
        <v>692</v>
      </c>
      <c r="N16" s="2">
        <f>-(Elec!E17)</f>
        <v>0</v>
      </c>
      <c r="P16" s="13">
        <f t="shared" si="17"/>
        <v>2311.2799999999997</v>
      </c>
      <c r="R16" s="13">
        <f t="shared" si="18"/>
        <v>2.361796</v>
      </c>
      <c r="S16" s="13">
        <f t="shared" si="19"/>
        <v>7.8883986399999984</v>
      </c>
      <c r="T16" s="8">
        <f>HDD!B23</f>
        <v>502</v>
      </c>
      <c r="U16" s="8">
        <f>CDD!B16</f>
        <v>12</v>
      </c>
      <c r="W16" s="13">
        <f t="shared" si="20"/>
        <v>4735.363609727513</v>
      </c>
      <c r="X16" s="13">
        <f t="shared" si="21"/>
        <v>6544.6816993847051</v>
      </c>
      <c r="Y16" s="13"/>
      <c r="Z16" s="13">
        <f t="shared" si="22"/>
        <v>16.161796000000002</v>
      </c>
      <c r="AA16" s="13">
        <f t="shared" si="23"/>
        <v>22.336998639999997</v>
      </c>
    </row>
    <row r="17" spans="2:27">
      <c r="B17" s="1">
        <v>40664</v>
      </c>
      <c r="C17" s="26">
        <f>Gas!C16</f>
        <v>49</v>
      </c>
      <c r="D17" s="12">
        <f t="shared" si="15"/>
        <v>4.9000000000000004</v>
      </c>
      <c r="E17" s="13">
        <f t="shared" si="12"/>
        <v>5.1303000000000001</v>
      </c>
      <c r="G17" s="13">
        <f t="shared" si="13"/>
        <v>1435.687078816291</v>
      </c>
      <c r="H17" s="13">
        <f t="shared" si="14"/>
        <v>1503.1643715206565</v>
      </c>
      <c r="I17" s="13"/>
      <c r="J17" s="1">
        <v>40664</v>
      </c>
      <c r="K17" s="52">
        <f>Elec!D18</f>
        <v>547</v>
      </c>
      <c r="L17" s="16">
        <f>Elec!C18</f>
        <v>0</v>
      </c>
      <c r="M17" s="13">
        <f t="shared" si="16"/>
        <v>547</v>
      </c>
      <c r="N17" s="2">
        <f>-(Elec!E18)</f>
        <v>0</v>
      </c>
      <c r="P17" s="13">
        <f t="shared" si="17"/>
        <v>1826.98</v>
      </c>
      <c r="R17" s="13">
        <f t="shared" si="18"/>
        <v>1.866911</v>
      </c>
      <c r="S17" s="13">
        <f t="shared" si="19"/>
        <v>6.2354827400000001</v>
      </c>
      <c r="T17" s="8">
        <f>HDD!B24</f>
        <v>268</v>
      </c>
      <c r="U17" s="8">
        <f>CDD!B17</f>
        <v>63</v>
      </c>
      <c r="W17" s="13">
        <f t="shared" si="20"/>
        <v>1982.687078816291</v>
      </c>
      <c r="X17" s="13">
        <f t="shared" si="21"/>
        <v>3330.1443715206565</v>
      </c>
      <c r="Y17" s="13"/>
      <c r="Z17" s="13">
        <f t="shared" si="22"/>
        <v>6.7669110000000003</v>
      </c>
      <c r="AA17" s="13">
        <f t="shared" si="23"/>
        <v>11.36578274</v>
      </c>
    </row>
    <row r="18" spans="2:27">
      <c r="B18" s="1">
        <v>40695</v>
      </c>
      <c r="C18" s="26">
        <f>Gas!C17</f>
        <v>22</v>
      </c>
      <c r="D18" s="12">
        <f t="shared" si="15"/>
        <v>2.2000000000000002</v>
      </c>
      <c r="E18" s="13">
        <f t="shared" si="12"/>
        <v>2.3033999999999999</v>
      </c>
      <c r="G18" s="13">
        <f t="shared" si="13"/>
        <v>644.5941986522123</v>
      </c>
      <c r="H18" s="13">
        <f t="shared" si="14"/>
        <v>674.89012598886609</v>
      </c>
      <c r="I18" s="13"/>
      <c r="J18" s="1">
        <v>40695</v>
      </c>
      <c r="K18" s="52">
        <f>Elec!D19</f>
        <v>543</v>
      </c>
      <c r="L18" s="16">
        <f>Elec!C19</f>
        <v>0</v>
      </c>
      <c r="M18" s="13">
        <f t="shared" si="16"/>
        <v>543</v>
      </c>
      <c r="N18" s="2">
        <f>-(Elec!E19)</f>
        <v>0</v>
      </c>
      <c r="P18" s="13">
        <f t="shared" si="17"/>
        <v>1813.62</v>
      </c>
      <c r="R18" s="13">
        <f t="shared" si="18"/>
        <v>1.853259</v>
      </c>
      <c r="S18" s="13">
        <f t="shared" si="19"/>
        <v>6.1898850599999991</v>
      </c>
      <c r="T18" s="8">
        <f>HDD!B25</f>
        <v>113</v>
      </c>
      <c r="U18" s="8">
        <f>CDD!B18</f>
        <v>122</v>
      </c>
      <c r="W18" s="13">
        <f t="shared" si="20"/>
        <v>1187.5941986522123</v>
      </c>
      <c r="X18" s="13">
        <f t="shared" si="21"/>
        <v>2488.5101259888661</v>
      </c>
      <c r="Y18" s="13"/>
      <c r="Z18" s="13">
        <f t="shared" si="22"/>
        <v>4.0532590000000006</v>
      </c>
      <c r="AA18" s="13">
        <f t="shared" si="23"/>
        <v>8.4932850599999981</v>
      </c>
    </row>
    <row r="19" spans="2:27">
      <c r="B19" s="1">
        <v>40735</v>
      </c>
      <c r="C19" s="26">
        <f>Gas!C18</f>
        <v>0</v>
      </c>
      <c r="D19" s="12">
        <f t="shared" si="15"/>
        <v>0</v>
      </c>
      <c r="E19" s="13">
        <f t="shared" si="12"/>
        <v>0</v>
      </c>
      <c r="G19" s="13">
        <f t="shared" si="13"/>
        <v>0</v>
      </c>
      <c r="H19" s="13">
        <f t="shared" si="14"/>
        <v>0</v>
      </c>
      <c r="I19" s="13"/>
      <c r="J19" s="1">
        <v>40725</v>
      </c>
      <c r="K19" s="52">
        <f>Elec!D20</f>
        <v>233</v>
      </c>
      <c r="L19" s="16">
        <f>Elec!C20</f>
        <v>0</v>
      </c>
      <c r="M19" s="13">
        <f t="shared" si="16"/>
        <v>233</v>
      </c>
      <c r="N19" s="2">
        <f>-(Elec!E20)</f>
        <v>0</v>
      </c>
      <c r="P19" s="13">
        <f t="shared" si="17"/>
        <v>778.21999999999991</v>
      </c>
      <c r="R19" s="13">
        <f t="shared" si="18"/>
        <v>0.79522899999999996</v>
      </c>
      <c r="S19" s="13">
        <f t="shared" si="19"/>
        <v>2.6560648599999994</v>
      </c>
      <c r="T19" s="8">
        <f>HDD!B26</f>
        <v>20</v>
      </c>
      <c r="U19" s="8">
        <f>CDD!B19</f>
        <v>309</v>
      </c>
      <c r="W19" s="13">
        <f t="shared" si="20"/>
        <v>233</v>
      </c>
      <c r="X19" s="13">
        <f t="shared" si="21"/>
        <v>778.21999999999991</v>
      </c>
      <c r="Y19" s="13"/>
      <c r="Z19" s="13">
        <f t="shared" si="22"/>
        <v>0.79522899999999996</v>
      </c>
      <c r="AA19" s="13">
        <f t="shared" si="23"/>
        <v>2.6560648599999994</v>
      </c>
    </row>
    <row r="20" spans="2:27">
      <c r="B20" s="1">
        <v>40766</v>
      </c>
      <c r="C20" s="26">
        <f>Gas!C19</f>
        <v>0</v>
      </c>
      <c r="D20" s="12">
        <f t="shared" si="15"/>
        <v>0</v>
      </c>
      <c r="E20" s="13">
        <f t="shared" si="12"/>
        <v>0</v>
      </c>
      <c r="G20" s="13">
        <f t="shared" si="13"/>
        <v>0</v>
      </c>
      <c r="H20" s="13">
        <f t="shared" si="14"/>
        <v>0</v>
      </c>
      <c r="I20" s="13"/>
      <c r="J20" s="1">
        <v>40756</v>
      </c>
      <c r="K20" s="52">
        <f>Elec!D21</f>
        <v>289</v>
      </c>
      <c r="L20" s="16">
        <f>Elec!C21</f>
        <v>0</v>
      </c>
      <c r="M20" s="17">
        <f t="shared" si="16"/>
        <v>289</v>
      </c>
      <c r="N20" s="2">
        <f>-(Elec!E21)</f>
        <v>0</v>
      </c>
      <c r="P20" s="13">
        <f t="shared" si="17"/>
        <v>965.26</v>
      </c>
      <c r="R20" s="13">
        <f t="shared" si="18"/>
        <v>0.98635699999999993</v>
      </c>
      <c r="S20" s="13">
        <f t="shared" si="19"/>
        <v>3.2944323799999999</v>
      </c>
      <c r="T20" s="8">
        <f>HDD!B27</f>
        <v>31</v>
      </c>
      <c r="U20" s="8">
        <f>CDD!B20</f>
        <v>202</v>
      </c>
      <c r="W20" s="13">
        <f t="shared" si="20"/>
        <v>289</v>
      </c>
      <c r="X20" s="13">
        <f t="shared" si="21"/>
        <v>965.26</v>
      </c>
      <c r="Y20" s="13"/>
      <c r="Z20" s="13">
        <f t="shared" si="22"/>
        <v>0.98635699999999993</v>
      </c>
      <c r="AA20" s="13">
        <f t="shared" si="23"/>
        <v>3.2944323799999999</v>
      </c>
    </row>
    <row r="21" spans="2:27">
      <c r="B21" s="1">
        <v>40797</v>
      </c>
      <c r="C21" s="26">
        <f>Gas!C20</f>
        <v>1</v>
      </c>
      <c r="D21" s="12">
        <f t="shared" si="15"/>
        <v>0.1</v>
      </c>
      <c r="E21" s="13">
        <f t="shared" si="12"/>
        <v>0.1047</v>
      </c>
      <c r="G21" s="13">
        <f t="shared" si="13"/>
        <v>29.299736302373283</v>
      </c>
      <c r="H21" s="13">
        <f t="shared" si="14"/>
        <v>30.676823908584826</v>
      </c>
      <c r="I21" s="13"/>
      <c r="J21" s="1">
        <v>40787</v>
      </c>
      <c r="K21" s="52">
        <f>Elec!D22</f>
        <v>262</v>
      </c>
      <c r="L21" s="16">
        <f>Elec!C22</f>
        <v>0</v>
      </c>
      <c r="M21" s="17">
        <f t="shared" si="16"/>
        <v>262</v>
      </c>
      <c r="N21" s="2">
        <f>-(Elec!E22)</f>
        <v>0</v>
      </c>
      <c r="P21" s="13">
        <f t="shared" si="17"/>
        <v>875.07999999999993</v>
      </c>
      <c r="R21" s="13">
        <f t="shared" si="18"/>
        <v>0.89420599999999995</v>
      </c>
      <c r="S21" s="13">
        <f t="shared" si="19"/>
        <v>2.9866480399999995</v>
      </c>
      <c r="T21" s="8">
        <f>HDD!B28</f>
        <v>108</v>
      </c>
      <c r="U21" s="8">
        <f>CDD!B21</f>
        <v>105</v>
      </c>
      <c r="W21" s="13">
        <f t="shared" si="20"/>
        <v>291.29973630237328</v>
      </c>
      <c r="X21" s="13">
        <f t="shared" si="21"/>
        <v>905.75682390858481</v>
      </c>
      <c r="Y21" s="13"/>
      <c r="Z21" s="13">
        <f t="shared" si="22"/>
        <v>0.99420599999999992</v>
      </c>
      <c r="AA21" s="13">
        <f t="shared" si="23"/>
        <v>3.0913480399999993</v>
      </c>
    </row>
    <row r="22" spans="2:27">
      <c r="B22" s="1">
        <v>40827</v>
      </c>
      <c r="C22" s="26">
        <f>Gas!C21</f>
        <v>21</v>
      </c>
      <c r="D22" s="12">
        <f t="shared" si="15"/>
        <v>2.1</v>
      </c>
      <c r="E22" s="13">
        <f t="shared" si="12"/>
        <v>2.1987000000000001</v>
      </c>
      <c r="G22" s="13">
        <f t="shared" si="13"/>
        <v>615.29446234983891</v>
      </c>
      <c r="H22" s="13">
        <f t="shared" si="14"/>
        <v>644.21330208028132</v>
      </c>
      <c r="I22" s="13"/>
      <c r="J22" s="1">
        <v>40817</v>
      </c>
      <c r="K22" s="52">
        <f>Elec!D23</f>
        <v>207</v>
      </c>
      <c r="L22" s="16">
        <f>Elec!C23</f>
        <v>0</v>
      </c>
      <c r="M22" s="17">
        <f t="shared" si="16"/>
        <v>207</v>
      </c>
      <c r="N22" s="2">
        <f>-(Elec!E23)</f>
        <v>0</v>
      </c>
      <c r="P22" s="13">
        <f t="shared" si="17"/>
        <v>691.38</v>
      </c>
      <c r="R22" s="13">
        <f t="shared" si="18"/>
        <v>0.70649099999999998</v>
      </c>
      <c r="S22" s="13">
        <f t="shared" si="19"/>
        <v>2.3596799399999999</v>
      </c>
      <c r="T22" s="8">
        <f>HDD!B29</f>
        <v>418</v>
      </c>
      <c r="U22" s="8">
        <f>CDD!B22</f>
        <v>15</v>
      </c>
      <c r="W22" s="13">
        <f t="shared" si="20"/>
        <v>822.29446234983891</v>
      </c>
      <c r="X22" s="13">
        <f t="shared" si="21"/>
        <v>1335.5933020802813</v>
      </c>
      <c r="Y22" s="13"/>
      <c r="Z22" s="13">
        <f t="shared" si="22"/>
        <v>2.8064910000000003</v>
      </c>
      <c r="AA22" s="13">
        <f t="shared" si="23"/>
        <v>4.55837994</v>
      </c>
    </row>
    <row r="23" spans="2:27">
      <c r="B23" s="1">
        <v>40858</v>
      </c>
      <c r="C23" s="26">
        <f>Gas!C22</f>
        <v>74</v>
      </c>
      <c r="D23" s="12">
        <f t="shared" si="15"/>
        <v>7.4</v>
      </c>
      <c r="E23" s="13">
        <f t="shared" si="12"/>
        <v>7.7477999999999998</v>
      </c>
      <c r="G23" s="13">
        <f t="shared" si="13"/>
        <v>2168.1804863756229</v>
      </c>
      <c r="H23" s="13">
        <f t="shared" si="14"/>
        <v>2270.0849692352772</v>
      </c>
      <c r="I23" s="13"/>
      <c r="J23" s="1">
        <v>40848</v>
      </c>
      <c r="K23" s="52">
        <f>Elec!D24</f>
        <v>417</v>
      </c>
      <c r="L23" s="16">
        <f>Elec!C24</f>
        <v>0</v>
      </c>
      <c r="M23" s="17">
        <f t="shared" si="16"/>
        <v>417</v>
      </c>
      <c r="N23" s="2">
        <f>-(Elec!E24)</f>
        <v>0</v>
      </c>
      <c r="P23" s="13">
        <f t="shared" si="17"/>
        <v>1392.78</v>
      </c>
      <c r="R23" s="13">
        <f t="shared" si="18"/>
        <v>1.4232209999999998</v>
      </c>
      <c r="S23" s="13">
        <f t="shared" si="19"/>
        <v>4.75355814</v>
      </c>
      <c r="T23" s="8">
        <f>HDD!B30</f>
        <v>563</v>
      </c>
      <c r="U23" s="8">
        <f>CDD!B23</f>
        <v>2</v>
      </c>
      <c r="W23" s="13">
        <f t="shared" si="20"/>
        <v>2585.1804863756229</v>
      </c>
      <c r="X23" s="13">
        <f t="shared" si="21"/>
        <v>3662.8649692352774</v>
      </c>
      <c r="Y23" s="13"/>
      <c r="Z23" s="13">
        <f t="shared" si="22"/>
        <v>8.8232210000000002</v>
      </c>
      <c r="AA23" s="13">
        <f t="shared" si="23"/>
        <v>12.501358140000001</v>
      </c>
    </row>
    <row r="24" spans="2:27">
      <c r="B24" s="1">
        <v>40888</v>
      </c>
      <c r="C24" s="26">
        <f>Gas!C23</f>
        <v>132</v>
      </c>
      <c r="D24" s="12">
        <f t="shared" si="15"/>
        <v>13.200000000000001</v>
      </c>
      <c r="E24" s="13">
        <f t="shared" si="12"/>
        <v>13.820399999999999</v>
      </c>
      <c r="G24" s="13">
        <f t="shared" si="13"/>
        <v>3867.5651919132733</v>
      </c>
      <c r="H24" s="13">
        <f t="shared" si="14"/>
        <v>4049.3407559331968</v>
      </c>
      <c r="I24" s="13"/>
      <c r="J24" s="1">
        <v>40878</v>
      </c>
      <c r="K24" s="52">
        <f>Elec!D25</f>
        <v>806</v>
      </c>
      <c r="L24" s="16">
        <f>Elec!C25</f>
        <v>0</v>
      </c>
      <c r="M24" s="17">
        <f t="shared" si="16"/>
        <v>806</v>
      </c>
      <c r="N24" s="2">
        <f>-(Elec!E25)</f>
        <v>0</v>
      </c>
      <c r="P24" s="13">
        <f t="shared" si="17"/>
        <v>2692.04</v>
      </c>
      <c r="R24" s="13">
        <f t="shared" si="18"/>
        <v>2.7508779999999997</v>
      </c>
      <c r="S24" s="13">
        <f t="shared" si="19"/>
        <v>9.1879325199999986</v>
      </c>
      <c r="T24" s="8">
        <f>HDD!B31</f>
        <v>882</v>
      </c>
      <c r="U24" s="8">
        <f>CDD!B24</f>
        <v>0</v>
      </c>
      <c r="W24" s="35">
        <f t="shared" si="20"/>
        <v>4673.5651919132733</v>
      </c>
      <c r="X24" s="36">
        <f t="shared" si="21"/>
        <v>6741.3807559331963</v>
      </c>
      <c r="Y24" s="36"/>
      <c r="Z24" s="36">
        <f t="shared" si="22"/>
        <v>15.950878000000001</v>
      </c>
      <c r="AA24" s="37">
        <f t="shared" si="23"/>
        <v>23.008332519999996</v>
      </c>
    </row>
    <row r="25" spans="2:27">
      <c r="B25" s="1">
        <v>40920</v>
      </c>
      <c r="C25" s="26">
        <f>Gas!C24</f>
        <v>152</v>
      </c>
      <c r="D25" s="12">
        <f t="shared" si="15"/>
        <v>15.200000000000001</v>
      </c>
      <c r="E25" s="13">
        <f t="shared" si="12"/>
        <v>15.914400000000001</v>
      </c>
      <c r="G25" s="13">
        <f t="shared" si="13"/>
        <v>4453.5599179607389</v>
      </c>
      <c r="H25" s="13">
        <f t="shared" si="14"/>
        <v>4662.8772341048934</v>
      </c>
      <c r="I25" s="13"/>
      <c r="J25" s="1">
        <v>40909</v>
      </c>
      <c r="K25" s="52">
        <f>Elec!D26</f>
        <v>1081</v>
      </c>
      <c r="L25" s="16">
        <f>Elec!C26</f>
        <v>0</v>
      </c>
      <c r="M25" s="17">
        <f t="shared" si="16"/>
        <v>1081</v>
      </c>
      <c r="N25" s="2">
        <f>-(Elec!E26)</f>
        <v>0</v>
      </c>
      <c r="P25" s="13">
        <f t="shared" si="17"/>
        <v>3610.54</v>
      </c>
      <c r="R25" s="13">
        <f t="shared" si="18"/>
        <v>3.6894529999999999</v>
      </c>
      <c r="S25" s="13">
        <f t="shared" si="19"/>
        <v>12.32277302</v>
      </c>
      <c r="T25" s="8">
        <f>HDD!B32</f>
        <v>1053</v>
      </c>
      <c r="U25" s="8">
        <f>CDD!B25</f>
        <v>0</v>
      </c>
      <c r="W25" s="38">
        <f t="shared" si="20"/>
        <v>5534.5599179607389</v>
      </c>
      <c r="X25" s="39">
        <f t="shared" si="21"/>
        <v>8273.4172341048943</v>
      </c>
      <c r="Y25" s="39"/>
      <c r="Z25" s="39">
        <f t="shared" si="22"/>
        <v>18.889453</v>
      </c>
      <c r="AA25" s="40">
        <f t="shared" si="23"/>
        <v>28.23717302</v>
      </c>
    </row>
    <row r="26" spans="2:27">
      <c r="B26" s="1">
        <v>40940</v>
      </c>
      <c r="C26" s="26">
        <f>Gas!C25</f>
        <v>131</v>
      </c>
      <c r="D26" s="12">
        <f t="shared" si="15"/>
        <v>13.100000000000001</v>
      </c>
      <c r="E26" s="13">
        <f t="shared" si="12"/>
        <v>13.7157</v>
      </c>
      <c r="G26" s="13">
        <f t="shared" si="13"/>
        <v>3838.2654556109005</v>
      </c>
      <c r="H26" s="13">
        <f t="shared" si="14"/>
        <v>4018.6639320246122</v>
      </c>
      <c r="I26" s="13"/>
      <c r="J26" s="1">
        <v>40940</v>
      </c>
      <c r="K26" s="52">
        <f>Elec!D27</f>
        <v>879</v>
      </c>
      <c r="L26" s="16">
        <f>Elec!C27</f>
        <v>0</v>
      </c>
      <c r="M26" s="17">
        <f t="shared" si="16"/>
        <v>879</v>
      </c>
      <c r="N26" s="2">
        <f>-(Elec!E27)</f>
        <v>0</v>
      </c>
      <c r="P26" s="13">
        <f t="shared" si="17"/>
        <v>2935.8599999999997</v>
      </c>
      <c r="R26" s="13">
        <f t="shared" si="18"/>
        <v>3.0000269999999998</v>
      </c>
      <c r="S26" s="13">
        <f t="shared" si="19"/>
        <v>10.020090179999999</v>
      </c>
      <c r="T26" s="8">
        <f>HDD!B33</f>
        <v>895</v>
      </c>
      <c r="U26" s="8">
        <f>CDD!B26</f>
        <v>0</v>
      </c>
      <c r="W26" s="38">
        <f t="shared" si="20"/>
        <v>4717.265455610901</v>
      </c>
      <c r="X26" s="39">
        <f t="shared" si="21"/>
        <v>6954.5239320246119</v>
      </c>
      <c r="Y26" s="39"/>
      <c r="Z26" s="39">
        <f t="shared" si="22"/>
        <v>16.100027000000001</v>
      </c>
      <c r="AA26" s="40">
        <f t="shared" si="23"/>
        <v>23.735790179999999</v>
      </c>
    </row>
    <row r="27" spans="2:27">
      <c r="B27" s="1">
        <v>40969</v>
      </c>
      <c r="C27" s="26">
        <f>Gas!C26</f>
        <v>116</v>
      </c>
      <c r="D27" s="12">
        <f t="shared" si="15"/>
        <v>11.600000000000001</v>
      </c>
      <c r="E27" s="13">
        <f t="shared" si="12"/>
        <v>12.145200000000001</v>
      </c>
      <c r="G27" s="13">
        <f t="shared" si="13"/>
        <v>3398.7694110753009</v>
      </c>
      <c r="H27" s="13">
        <f t="shared" si="14"/>
        <v>3558.5115733958401</v>
      </c>
      <c r="I27" s="13"/>
      <c r="J27" s="1">
        <v>40969</v>
      </c>
      <c r="K27" s="52">
        <f>Elec!D28</f>
        <v>941</v>
      </c>
      <c r="L27" s="16">
        <f>Elec!C28</f>
        <v>0</v>
      </c>
      <c r="M27" s="17">
        <f t="shared" si="16"/>
        <v>941</v>
      </c>
      <c r="N27" s="2">
        <f>-(Elec!E28)</f>
        <v>0</v>
      </c>
      <c r="P27" s="13">
        <f t="shared" si="17"/>
        <v>3142.94</v>
      </c>
      <c r="R27" s="13">
        <f t="shared" si="18"/>
        <v>3.211633</v>
      </c>
      <c r="S27" s="13">
        <f t="shared" si="19"/>
        <v>10.72685422</v>
      </c>
      <c r="T27" s="8">
        <f>HDD!B34</f>
        <v>652</v>
      </c>
      <c r="U27" s="8">
        <f>CDD!B27</f>
        <v>23</v>
      </c>
      <c r="W27" s="38">
        <f t="shared" si="20"/>
        <v>4339.7694110753009</v>
      </c>
      <c r="X27" s="39">
        <f t="shared" si="21"/>
        <v>6701.4515733958397</v>
      </c>
      <c r="Y27" s="39"/>
      <c r="Z27" s="39">
        <f t="shared" si="22"/>
        <v>14.811633</v>
      </c>
      <c r="AA27" s="40">
        <f t="shared" si="23"/>
        <v>22.872054220000003</v>
      </c>
    </row>
    <row r="28" spans="2:27">
      <c r="B28" s="1">
        <v>41000</v>
      </c>
      <c r="C28" s="26">
        <f>Gas!C27</f>
        <v>56</v>
      </c>
      <c r="D28" s="12">
        <f t="shared" si="15"/>
        <v>5.6000000000000005</v>
      </c>
      <c r="E28" s="13">
        <f t="shared" si="12"/>
        <v>5.8632</v>
      </c>
      <c r="G28" s="13">
        <f t="shared" si="13"/>
        <v>1640.7852329329039</v>
      </c>
      <c r="H28" s="13">
        <f t="shared" si="14"/>
        <v>1717.9021388807503</v>
      </c>
      <c r="I28" s="13"/>
      <c r="J28" s="1">
        <v>41000</v>
      </c>
      <c r="K28" s="52">
        <f>Elec!D29</f>
        <v>682</v>
      </c>
      <c r="L28" s="16">
        <f>Elec!C29</f>
        <v>0</v>
      </c>
      <c r="M28" s="17">
        <f t="shared" si="16"/>
        <v>682</v>
      </c>
      <c r="N28" s="2">
        <f>-(Elec!E29)</f>
        <v>0</v>
      </c>
      <c r="P28" s="13">
        <f t="shared" si="17"/>
        <v>2277.88</v>
      </c>
      <c r="R28" s="13">
        <f t="shared" si="18"/>
        <v>2.3276659999999998</v>
      </c>
      <c r="S28" s="13">
        <f t="shared" si="19"/>
        <v>7.7744044399999996</v>
      </c>
      <c r="T28" s="8">
        <f>HDD!B35</f>
        <v>463</v>
      </c>
      <c r="U28" s="8">
        <f>CDD!B28</f>
        <v>26</v>
      </c>
      <c r="W28" s="38">
        <f t="shared" si="20"/>
        <v>2322.7852329329039</v>
      </c>
      <c r="X28" s="39">
        <f t="shared" si="21"/>
        <v>3995.7821388807506</v>
      </c>
      <c r="Y28" s="39"/>
      <c r="Z28" s="39">
        <f t="shared" si="22"/>
        <v>7.9276660000000003</v>
      </c>
      <c r="AA28" s="40">
        <f t="shared" si="23"/>
        <v>13.63760444</v>
      </c>
    </row>
    <row r="29" spans="2:27">
      <c r="B29" s="1">
        <v>41030</v>
      </c>
      <c r="C29" s="26">
        <f>Gas!C28</f>
        <v>32</v>
      </c>
      <c r="D29" s="12">
        <f t="shared" si="15"/>
        <v>3.2</v>
      </c>
      <c r="E29" s="13">
        <f t="shared" si="12"/>
        <v>3.3504</v>
      </c>
      <c r="G29" s="13">
        <f t="shared" si="13"/>
        <v>937.59156167594506</v>
      </c>
      <c r="H29" s="13">
        <f t="shared" si="14"/>
        <v>981.65836507471442</v>
      </c>
      <c r="I29" s="13"/>
      <c r="J29" s="1">
        <v>41030</v>
      </c>
      <c r="K29" s="52">
        <f>Elec!D30</f>
        <v>782</v>
      </c>
      <c r="L29" s="16">
        <f>Elec!C30</f>
        <v>0</v>
      </c>
      <c r="M29" s="17">
        <f t="shared" si="16"/>
        <v>782</v>
      </c>
      <c r="N29" s="2">
        <f>-(Elec!E30)</f>
        <v>0</v>
      </c>
      <c r="P29" s="13">
        <f t="shared" si="17"/>
        <v>2611.88</v>
      </c>
      <c r="R29" s="13">
        <f t="shared" si="18"/>
        <v>2.6689659999999997</v>
      </c>
      <c r="S29" s="13">
        <f t="shared" si="19"/>
        <v>8.9143464399999992</v>
      </c>
      <c r="T29" s="8">
        <f>HDD!B36</f>
        <v>208</v>
      </c>
      <c r="U29" s="8">
        <f>CDD!B29</f>
        <v>60</v>
      </c>
      <c r="W29" s="38">
        <f t="shared" si="20"/>
        <v>1719.5915616759451</v>
      </c>
      <c r="X29" s="39">
        <f t="shared" si="21"/>
        <v>3593.5383650747144</v>
      </c>
      <c r="Y29" s="39"/>
      <c r="Z29" s="39">
        <f t="shared" si="22"/>
        <v>5.8689660000000003</v>
      </c>
      <c r="AA29" s="40">
        <f t="shared" si="23"/>
        <v>12.26474644</v>
      </c>
    </row>
    <row r="30" spans="2:27">
      <c r="B30" s="1">
        <v>41061</v>
      </c>
      <c r="C30" s="26">
        <f>Gas!C29</f>
        <v>21</v>
      </c>
      <c r="D30" s="12">
        <f t="shared" si="15"/>
        <v>2.1</v>
      </c>
      <c r="E30" s="13">
        <f t="shared" si="12"/>
        <v>2.1987000000000001</v>
      </c>
      <c r="G30" s="13">
        <f t="shared" si="13"/>
        <v>615.29446234983891</v>
      </c>
      <c r="H30" s="13">
        <f t="shared" si="14"/>
        <v>644.21330208028132</v>
      </c>
      <c r="I30" s="13"/>
      <c r="J30" s="1">
        <v>41061</v>
      </c>
      <c r="K30" s="52">
        <f>Elec!D31</f>
        <v>940</v>
      </c>
      <c r="L30" s="16">
        <f>Elec!C31</f>
        <v>0</v>
      </c>
      <c r="M30" s="17">
        <f t="shared" si="16"/>
        <v>940</v>
      </c>
      <c r="N30" s="2">
        <f>-(Elec!E31)</f>
        <v>0</v>
      </c>
      <c r="P30" s="13">
        <f t="shared" si="17"/>
        <v>3139.6</v>
      </c>
      <c r="R30" s="13">
        <f t="shared" si="18"/>
        <v>3.2082199999999998</v>
      </c>
      <c r="S30" s="13">
        <f t="shared" si="19"/>
        <v>10.7154548</v>
      </c>
      <c r="T30" s="8">
        <f>HDD!B37</f>
        <v>121</v>
      </c>
      <c r="U30" s="8">
        <f>CDD!B30</f>
        <v>128</v>
      </c>
      <c r="W30" s="38">
        <f t="shared" si="20"/>
        <v>1555.2944623498388</v>
      </c>
      <c r="X30" s="39">
        <f t="shared" si="21"/>
        <v>3783.8133020802811</v>
      </c>
      <c r="Y30" s="39"/>
      <c r="Z30" s="39">
        <f t="shared" si="22"/>
        <v>5.3082200000000004</v>
      </c>
      <c r="AA30" s="40">
        <f t="shared" si="23"/>
        <v>12.9141548</v>
      </c>
    </row>
    <row r="31" spans="2:27">
      <c r="B31" s="1">
        <v>41101</v>
      </c>
      <c r="C31" s="26">
        <f>Gas!C30</f>
        <v>19</v>
      </c>
      <c r="D31" s="12">
        <f t="shared" si="15"/>
        <v>1.9000000000000001</v>
      </c>
      <c r="E31" s="13">
        <f t="shared" si="12"/>
        <v>1.9893000000000001</v>
      </c>
      <c r="G31" s="13">
        <f t="shared" si="13"/>
        <v>556.69498974509236</v>
      </c>
      <c r="H31" s="13">
        <f t="shared" si="14"/>
        <v>582.85965426311168</v>
      </c>
      <c r="I31" s="13"/>
      <c r="J31" s="1">
        <v>41091</v>
      </c>
      <c r="K31" s="52">
        <f>Elec!D32</f>
        <v>1389</v>
      </c>
      <c r="L31" s="16">
        <f>Elec!C32</f>
        <v>0</v>
      </c>
      <c r="M31" s="17">
        <f t="shared" si="16"/>
        <v>1389</v>
      </c>
      <c r="N31" s="2">
        <f>-(Elec!E32)</f>
        <v>0</v>
      </c>
      <c r="P31" s="13">
        <f t="shared" si="17"/>
        <v>4639.26</v>
      </c>
      <c r="R31" s="13">
        <f t="shared" si="18"/>
        <v>4.7406569999999997</v>
      </c>
      <c r="S31" s="13">
        <f t="shared" si="19"/>
        <v>15.833794380000001</v>
      </c>
      <c r="T31" s="8">
        <f>HDD!B38</f>
        <v>22</v>
      </c>
      <c r="U31" s="8">
        <f>CDD!B31</f>
        <v>291</v>
      </c>
      <c r="W31" s="41">
        <f t="shared" si="20"/>
        <v>1945.6949897450922</v>
      </c>
      <c r="X31" s="42">
        <f t="shared" si="21"/>
        <v>5222.1196542631114</v>
      </c>
      <c r="Y31" s="42"/>
      <c r="Z31" s="42">
        <f t="shared" si="22"/>
        <v>6.640657</v>
      </c>
      <c r="AA31" s="43">
        <f t="shared" si="23"/>
        <v>17.823094380000001</v>
      </c>
    </row>
    <row r="32" spans="2:27">
      <c r="B32" s="1">
        <v>41132</v>
      </c>
      <c r="C32" s="26">
        <f>Gas!C31</f>
        <v>19</v>
      </c>
      <c r="D32" s="2"/>
      <c r="Q32" s="8" t="s">
        <v>94</v>
      </c>
      <c r="R32" s="13">
        <f>SUM(R26:R31)</f>
        <v>19.157168999999996</v>
      </c>
      <c r="S32" s="13">
        <f>SUM(S26:S31)</f>
        <v>63.984944459999994</v>
      </c>
    </row>
    <row r="33" spans="1:27" s="8" customFormat="1">
      <c r="B33" s="1"/>
      <c r="C33" s="26" t="s">
        <v>94</v>
      </c>
      <c r="D33" s="12">
        <f>SUM(D26:D31)</f>
        <v>37.500000000000007</v>
      </c>
      <c r="E33" s="12">
        <f>SUM(E26:E31)</f>
        <v>39.262500000000003</v>
      </c>
    </row>
    <row r="34" spans="1:27">
      <c r="B34" s="8"/>
      <c r="C34" s="12"/>
      <c r="D34" s="2"/>
      <c r="M34" s="8"/>
    </row>
    <row r="35" spans="1:27" s="8" customFormat="1">
      <c r="C35" s="56" t="s">
        <v>61</v>
      </c>
      <c r="D35" s="16"/>
    </row>
    <row r="36" spans="1:27" s="8" customFormat="1">
      <c r="C36" s="57">
        <f>MIN(C26:C31)</f>
        <v>19</v>
      </c>
      <c r="D36" s="58">
        <f t="shared" ref="D36" si="24">C36*E$2</f>
        <v>1.9000000000000001</v>
      </c>
      <c r="E36" s="59">
        <f t="shared" ref="E36" si="25">D36*E$5</f>
        <v>1.9893000000000001</v>
      </c>
      <c r="F36" s="60"/>
      <c r="G36" s="59"/>
      <c r="H36" s="59"/>
      <c r="I36" s="60"/>
      <c r="J36" s="60"/>
      <c r="K36" s="60"/>
      <c r="L36" s="60"/>
      <c r="M36" s="59">
        <f>MIN(M26:M31)</f>
        <v>682</v>
      </c>
      <c r="N36" s="60"/>
      <c r="O36" s="60"/>
      <c r="P36" s="59"/>
      <c r="Q36" s="60"/>
      <c r="R36" s="59">
        <f t="shared" ref="R36" si="26">M36*E$3</f>
        <v>2.3276659999999998</v>
      </c>
      <c r="S36" s="59">
        <f>R36*$E$4</f>
        <v>7.7744044399999988</v>
      </c>
      <c r="T36" s="60"/>
      <c r="U36" s="60"/>
      <c r="V36" s="60"/>
      <c r="W36" s="59"/>
      <c r="X36" s="59"/>
      <c r="Y36" s="59"/>
      <c r="Z36" s="59">
        <f t="shared" ref="Z36" si="27">D36+R36</f>
        <v>4.2276660000000001</v>
      </c>
      <c r="AA36" s="61">
        <f t="shared" ref="AA36" si="28">E36+S36</f>
        <v>9.7637044399999979</v>
      </c>
    </row>
    <row r="37" spans="1:27">
      <c r="M37" s="8"/>
    </row>
    <row r="38" spans="1:27">
      <c r="C38" s="13">
        <f>SUM(C26:C31)</f>
        <v>375</v>
      </c>
      <c r="M38" s="13">
        <f>SUM(M26:M31)</f>
        <v>5613</v>
      </c>
      <c r="U38" s="44" t="s">
        <v>56</v>
      </c>
      <c r="V38" s="45"/>
      <c r="W38" s="45" t="s">
        <v>18</v>
      </c>
      <c r="X38" s="45" t="s">
        <v>21</v>
      </c>
      <c r="Y38" s="45"/>
      <c r="Z38" s="45" t="s">
        <v>19</v>
      </c>
      <c r="AA38" s="28" t="s">
        <v>20</v>
      </c>
    </row>
    <row r="39" spans="1:27">
      <c r="A39" s="8" t="s">
        <v>90</v>
      </c>
      <c r="E39" s="13">
        <f>SUM(E26:E31)</f>
        <v>39.262500000000003</v>
      </c>
      <c r="S39" s="13">
        <f>SUM(S26:S31)</f>
        <v>63.984944459999994</v>
      </c>
      <c r="U39" s="46"/>
      <c r="V39" s="19"/>
      <c r="W39" s="19"/>
      <c r="X39" s="19"/>
      <c r="Y39" s="19"/>
      <c r="Z39" s="19"/>
      <c r="AA39" s="30"/>
    </row>
    <row r="40" spans="1:27">
      <c r="U40" s="46" t="s">
        <v>55</v>
      </c>
      <c r="V40" s="19"/>
      <c r="W40" s="39">
        <f>SUM(W26:W31)</f>
        <v>16600.40111338998</v>
      </c>
      <c r="X40" s="39">
        <f>SUM(X26:X31)</f>
        <v>30251.228965719307</v>
      </c>
      <c r="Y40" s="19"/>
      <c r="Z40" s="39">
        <f>SUM(Z26:Z31)</f>
        <v>56.657168999999996</v>
      </c>
      <c r="AA40" s="40">
        <f>SUM(AA26:AA31)</f>
        <v>103.24744446000001</v>
      </c>
    </row>
    <row r="41" spans="1:27">
      <c r="U41" s="47"/>
      <c r="V41" s="48"/>
      <c r="W41" s="48"/>
      <c r="X41" s="48"/>
      <c r="Y41" s="48"/>
      <c r="Z41" s="48"/>
      <c r="AA41" s="32"/>
    </row>
  </sheetData>
  <mergeCells count="1">
    <mergeCell ref="K7:L7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D42"/>
  <sheetViews>
    <sheetView topLeftCell="A12" workbookViewId="0">
      <selection activeCell="B14" sqref="B14"/>
    </sheetView>
  </sheetViews>
  <sheetFormatPr defaultColWidth="8.85546875" defaultRowHeight="15"/>
  <cols>
    <col min="1" max="1" width="13.140625" bestFit="1" customWidth="1"/>
  </cols>
  <sheetData>
    <row r="1" spans="1:4">
      <c r="A1" s="8" t="s">
        <v>7</v>
      </c>
      <c r="B1" s="8" t="s">
        <v>8</v>
      </c>
      <c r="C1" s="8"/>
      <c r="D1" s="8"/>
    </row>
    <row r="2" spans="1:4">
      <c r="A2" s="8" t="s">
        <v>9</v>
      </c>
      <c r="B2" s="8" t="s">
        <v>10</v>
      </c>
      <c r="C2" s="8"/>
      <c r="D2" s="8"/>
    </row>
    <row r="3" spans="1:4">
      <c r="A3" s="8" t="s">
        <v>11</v>
      </c>
      <c r="B3" s="8" t="s">
        <v>12</v>
      </c>
      <c r="C3" s="8"/>
      <c r="D3" s="8"/>
    </row>
    <row r="4" spans="1:4">
      <c r="A4" s="8" t="s">
        <v>13</v>
      </c>
      <c r="B4" s="8" t="s">
        <v>38</v>
      </c>
      <c r="C4" s="8"/>
      <c r="D4" s="8"/>
    </row>
    <row r="5" spans="1:4">
      <c r="A5" s="8" t="s">
        <v>14</v>
      </c>
      <c r="B5" s="8" t="s">
        <v>39</v>
      </c>
      <c r="C5" s="8"/>
      <c r="D5" s="8"/>
    </row>
    <row r="6" spans="1:4">
      <c r="A6" s="8"/>
      <c r="B6" s="8"/>
      <c r="C6" s="8"/>
      <c r="D6" s="8"/>
    </row>
    <row r="7" spans="1:4">
      <c r="A7" s="8" t="s">
        <v>15</v>
      </c>
      <c r="B7" s="8" t="s">
        <v>1</v>
      </c>
      <c r="C7" s="8" t="s">
        <v>16</v>
      </c>
      <c r="D7" s="8"/>
    </row>
    <row r="8" spans="1:4" s="7" customFormat="1">
      <c r="A8" s="9">
        <v>40179</v>
      </c>
      <c r="B8" s="8">
        <v>1191</v>
      </c>
      <c r="C8" s="8">
        <v>0.1</v>
      </c>
      <c r="D8" s="8"/>
    </row>
    <row r="9" spans="1:4" s="4" customFormat="1">
      <c r="A9" s="9">
        <v>40210</v>
      </c>
      <c r="B9" s="8">
        <v>964</v>
      </c>
      <c r="C9" s="8">
        <v>0.1</v>
      </c>
      <c r="D9" s="8"/>
    </row>
    <row r="10" spans="1:4">
      <c r="A10" s="9">
        <v>40238</v>
      </c>
      <c r="B10" s="8">
        <v>706</v>
      </c>
      <c r="C10" s="8">
        <v>0.1</v>
      </c>
      <c r="D10" s="8"/>
    </row>
    <row r="11" spans="1:4">
      <c r="A11" s="9">
        <v>40269</v>
      </c>
      <c r="B11" s="8">
        <v>427</v>
      </c>
      <c r="C11" s="8">
        <v>0.3</v>
      </c>
      <c r="D11" s="8"/>
    </row>
    <row r="12" spans="1:4">
      <c r="A12" s="9">
        <v>40299</v>
      </c>
      <c r="B12" s="8">
        <v>209</v>
      </c>
      <c r="C12" s="8">
        <v>0.5</v>
      </c>
      <c r="D12" s="8"/>
    </row>
    <row r="13" spans="1:4">
      <c r="A13" s="9">
        <v>40330</v>
      </c>
      <c r="B13" s="8">
        <v>65</v>
      </c>
      <c r="C13" s="8">
        <v>0.2</v>
      </c>
      <c r="D13" s="8"/>
    </row>
    <row r="14" spans="1:4">
      <c r="A14" s="9">
        <v>40360</v>
      </c>
      <c r="B14" s="8">
        <v>22</v>
      </c>
      <c r="C14" s="8">
        <v>0.4</v>
      </c>
      <c r="D14" s="8"/>
    </row>
    <row r="15" spans="1:4">
      <c r="A15" s="9">
        <v>40391</v>
      </c>
      <c r="B15" s="8">
        <v>44</v>
      </c>
      <c r="C15" s="8">
        <v>0.3</v>
      </c>
      <c r="D15" s="8"/>
    </row>
    <row r="16" spans="1:4">
      <c r="A16" s="9">
        <v>40422</v>
      </c>
      <c r="B16" s="8">
        <v>112</v>
      </c>
      <c r="C16" s="8">
        <v>0</v>
      </c>
      <c r="D16" s="8"/>
    </row>
    <row r="17" spans="1:4">
      <c r="A17" s="9">
        <v>40452</v>
      </c>
      <c r="B17" s="8">
        <v>442</v>
      </c>
      <c r="C17" s="8">
        <v>0.1</v>
      </c>
      <c r="D17" s="8"/>
    </row>
    <row r="18" spans="1:4">
      <c r="A18" s="9">
        <v>40483</v>
      </c>
      <c r="B18" s="8">
        <v>710</v>
      </c>
      <c r="C18" s="8">
        <v>7.0000000000000007E-2</v>
      </c>
      <c r="D18" s="8"/>
    </row>
    <row r="19" spans="1:4">
      <c r="A19" s="9">
        <v>40513</v>
      </c>
      <c r="B19" s="8">
        <v>1110</v>
      </c>
      <c r="C19" s="8">
        <v>0.2</v>
      </c>
      <c r="D19" s="8"/>
    </row>
    <row r="20" spans="1:4">
      <c r="A20" s="9">
        <v>40544</v>
      </c>
      <c r="B20" s="8">
        <v>1298</v>
      </c>
      <c r="C20" s="8">
        <v>0.03</v>
      </c>
      <c r="D20" s="8"/>
    </row>
    <row r="21" spans="1:4">
      <c r="A21" s="9">
        <v>40575</v>
      </c>
      <c r="B21" s="8">
        <v>1070</v>
      </c>
      <c r="C21" s="8">
        <v>0.04</v>
      </c>
      <c r="D21" s="8"/>
    </row>
    <row r="22" spans="1:4">
      <c r="A22" s="9">
        <v>40603</v>
      </c>
      <c r="B22" s="8">
        <v>884</v>
      </c>
      <c r="C22" s="8">
        <v>0.03</v>
      </c>
      <c r="D22" s="8"/>
    </row>
    <row r="23" spans="1:4">
      <c r="A23" s="9">
        <v>40634</v>
      </c>
      <c r="B23" s="8">
        <v>502</v>
      </c>
      <c r="C23" s="8">
        <v>0.03</v>
      </c>
      <c r="D23" s="8"/>
    </row>
    <row r="24" spans="1:4">
      <c r="A24" s="9">
        <v>40664</v>
      </c>
      <c r="B24" s="8">
        <v>268</v>
      </c>
      <c r="C24" s="8">
        <v>0</v>
      </c>
      <c r="D24" s="8"/>
    </row>
    <row r="25" spans="1:4">
      <c r="A25" s="9">
        <v>40695</v>
      </c>
      <c r="B25" s="8">
        <v>113</v>
      </c>
      <c r="C25" s="8">
        <v>0</v>
      </c>
      <c r="D25" s="8"/>
    </row>
    <row r="26" spans="1:4">
      <c r="A26" s="9">
        <v>40725</v>
      </c>
      <c r="B26" s="8">
        <v>20</v>
      </c>
      <c r="C26" s="8">
        <v>0.03</v>
      </c>
      <c r="D26" s="8"/>
    </row>
    <row r="27" spans="1:4">
      <c r="A27" s="9">
        <v>40756</v>
      </c>
      <c r="B27" s="8">
        <v>31</v>
      </c>
      <c r="C27" s="8">
        <v>0.1</v>
      </c>
      <c r="D27" s="8"/>
    </row>
    <row r="28" spans="1:4">
      <c r="A28" s="9">
        <v>40787</v>
      </c>
      <c r="B28" s="8">
        <v>108</v>
      </c>
      <c r="C28" s="8">
        <v>0</v>
      </c>
      <c r="D28" s="8"/>
    </row>
    <row r="29" spans="1:4">
      <c r="A29" s="9">
        <v>40817</v>
      </c>
      <c r="B29" s="8">
        <v>418</v>
      </c>
      <c r="C29" s="8">
        <v>0</v>
      </c>
      <c r="D29" s="8"/>
    </row>
    <row r="30" spans="1:4">
      <c r="A30" s="9">
        <v>40848</v>
      </c>
      <c r="B30" s="8">
        <v>563</v>
      </c>
      <c r="C30" s="8">
        <v>0.1</v>
      </c>
      <c r="D30" s="8"/>
    </row>
    <row r="31" spans="1:4">
      <c r="A31" s="9">
        <v>40878</v>
      </c>
      <c r="B31" s="8">
        <v>882</v>
      </c>
      <c r="C31" s="8">
        <v>0</v>
      </c>
      <c r="D31" s="8"/>
    </row>
    <row r="32" spans="1:4">
      <c r="A32" s="9">
        <v>40909</v>
      </c>
      <c r="B32" s="8">
        <v>1053</v>
      </c>
      <c r="C32" s="8">
        <v>0</v>
      </c>
      <c r="D32" s="8"/>
    </row>
    <row r="33" spans="1:4">
      <c r="A33" s="9">
        <v>40940</v>
      </c>
      <c r="B33" s="8">
        <v>895</v>
      </c>
      <c r="C33" s="8">
        <v>0.03</v>
      </c>
      <c r="D33" s="8"/>
    </row>
    <row r="34" spans="1:4">
      <c r="A34" s="9">
        <v>40969</v>
      </c>
      <c r="B34" s="8">
        <v>652</v>
      </c>
      <c r="C34" s="8">
        <v>0</v>
      </c>
    </row>
    <row r="35" spans="1:4">
      <c r="A35" s="9">
        <v>41000</v>
      </c>
      <c r="B35" s="8">
        <v>463</v>
      </c>
      <c r="C35" s="8">
        <v>0.03</v>
      </c>
    </row>
    <row r="36" spans="1:4">
      <c r="A36" s="9">
        <v>41030</v>
      </c>
      <c r="B36" s="8">
        <v>208</v>
      </c>
      <c r="C36" s="8">
        <v>0.06</v>
      </c>
    </row>
    <row r="37" spans="1:4">
      <c r="A37" s="9">
        <v>41061</v>
      </c>
      <c r="B37" s="8">
        <v>121</v>
      </c>
      <c r="C37" s="8">
        <v>7.0000000000000007E-2</v>
      </c>
    </row>
    <row r="38" spans="1:4">
      <c r="A38" s="9">
        <v>41091</v>
      </c>
      <c r="B38" s="8">
        <v>22</v>
      </c>
      <c r="C38" s="8">
        <v>0.1</v>
      </c>
    </row>
    <row r="39" spans="1:4">
      <c r="A39" s="9">
        <v>41122</v>
      </c>
      <c r="B39" s="8">
        <v>27</v>
      </c>
      <c r="C39" s="8">
        <v>0.03</v>
      </c>
    </row>
    <row r="40" spans="1:4">
      <c r="A40" s="9">
        <v>41153</v>
      </c>
      <c r="B40" s="8">
        <v>169</v>
      </c>
      <c r="C40" s="8">
        <v>0</v>
      </c>
    </row>
    <row r="41" spans="1:4">
      <c r="A41" s="9">
        <v>41183</v>
      </c>
    </row>
    <row r="42" spans="1:4">
      <c r="A42" s="9">
        <v>41214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D33"/>
  <sheetViews>
    <sheetView topLeftCell="A3" workbookViewId="0">
      <selection activeCell="A33" sqref="A33:C33"/>
    </sheetView>
  </sheetViews>
  <sheetFormatPr defaultColWidth="8.85546875" defaultRowHeight="15"/>
  <cols>
    <col min="1" max="1" width="13.140625" bestFit="1" customWidth="1"/>
  </cols>
  <sheetData>
    <row r="1" spans="1:4">
      <c r="A1" s="8" t="s">
        <v>7</v>
      </c>
      <c r="B1" s="8" t="s">
        <v>17</v>
      </c>
      <c r="C1" s="8"/>
      <c r="D1" s="8"/>
    </row>
    <row r="2" spans="1:4">
      <c r="A2" s="8" t="s">
        <v>9</v>
      </c>
      <c r="B2" s="8" t="s">
        <v>10</v>
      </c>
      <c r="C2" s="8"/>
      <c r="D2" s="8"/>
    </row>
    <row r="3" spans="1:4">
      <c r="A3" s="8" t="s">
        <v>11</v>
      </c>
      <c r="B3" s="8" t="s">
        <v>12</v>
      </c>
      <c r="C3" s="8"/>
      <c r="D3" s="8"/>
    </row>
    <row r="4" spans="1:4">
      <c r="A4" s="8" t="s">
        <v>13</v>
      </c>
      <c r="B4" s="8" t="s">
        <v>38</v>
      </c>
      <c r="C4" s="8"/>
      <c r="D4" s="8"/>
    </row>
    <row r="5" spans="1:4">
      <c r="A5" s="8" t="s">
        <v>14</v>
      </c>
      <c r="B5" s="8" t="s">
        <v>39</v>
      </c>
      <c r="C5" s="8"/>
      <c r="D5" s="8"/>
    </row>
    <row r="6" spans="1:4">
      <c r="A6" s="8"/>
      <c r="B6" s="8"/>
      <c r="C6" s="8"/>
      <c r="D6" s="8"/>
    </row>
    <row r="7" spans="1:4">
      <c r="A7" s="8" t="s">
        <v>15</v>
      </c>
      <c r="B7" s="8" t="s">
        <v>6</v>
      </c>
      <c r="C7" s="8" t="s">
        <v>16</v>
      </c>
      <c r="D7" s="8"/>
    </row>
    <row r="8" spans="1:4" s="6" customFormat="1">
      <c r="A8" s="9">
        <v>40391</v>
      </c>
      <c r="B8" s="8">
        <v>263</v>
      </c>
      <c r="C8" s="8">
        <v>0.3</v>
      </c>
      <c r="D8" s="8"/>
    </row>
    <row r="9" spans="1:4" s="5" customFormat="1">
      <c r="A9" s="9">
        <v>40422</v>
      </c>
      <c r="B9" s="8">
        <v>128</v>
      </c>
      <c r="C9" s="8">
        <v>0</v>
      </c>
      <c r="D9" s="8"/>
    </row>
    <row r="10" spans="1:4">
      <c r="A10" s="9">
        <v>40452</v>
      </c>
      <c r="B10" s="8">
        <v>14</v>
      </c>
      <c r="C10" s="8">
        <v>0.1</v>
      </c>
      <c r="D10" s="8"/>
    </row>
    <row r="11" spans="1:4">
      <c r="A11" s="9">
        <v>40483</v>
      </c>
      <c r="B11" s="8">
        <v>0</v>
      </c>
      <c r="C11" s="8">
        <v>7.0000000000000007E-2</v>
      </c>
      <c r="D11" s="8"/>
    </row>
    <row r="12" spans="1:4">
      <c r="A12" s="9">
        <v>40513</v>
      </c>
      <c r="B12" s="8">
        <v>0</v>
      </c>
      <c r="C12" s="8">
        <v>0.2</v>
      </c>
      <c r="D12" s="8"/>
    </row>
    <row r="13" spans="1:4">
      <c r="A13" s="9">
        <v>40544</v>
      </c>
      <c r="B13" s="8">
        <v>0</v>
      </c>
      <c r="C13" s="8">
        <v>0.03</v>
      </c>
      <c r="D13" s="8"/>
    </row>
    <row r="14" spans="1:4">
      <c r="A14" s="9">
        <v>40575</v>
      </c>
      <c r="B14" s="8">
        <v>0</v>
      </c>
      <c r="C14" s="8">
        <v>0.04</v>
      </c>
      <c r="D14" s="8"/>
    </row>
    <row r="15" spans="1:4">
      <c r="A15" s="9">
        <v>40603</v>
      </c>
      <c r="B15" s="8">
        <v>0</v>
      </c>
      <c r="C15" s="8">
        <v>0.03</v>
      </c>
      <c r="D15" s="8"/>
    </row>
    <row r="16" spans="1:4">
      <c r="A16" s="9">
        <v>40634</v>
      </c>
      <c r="B16" s="8">
        <v>12</v>
      </c>
      <c r="C16" s="8">
        <v>0.03</v>
      </c>
      <c r="D16" s="8"/>
    </row>
    <row r="17" spans="1:4">
      <c r="A17" s="9">
        <v>40664</v>
      </c>
      <c r="B17" s="8">
        <v>63</v>
      </c>
      <c r="C17" s="8">
        <v>0</v>
      </c>
      <c r="D17" s="8"/>
    </row>
    <row r="18" spans="1:4">
      <c r="A18" s="9">
        <v>40695</v>
      </c>
      <c r="B18" s="8">
        <v>122</v>
      </c>
      <c r="C18" s="8">
        <v>0</v>
      </c>
      <c r="D18" s="8"/>
    </row>
    <row r="19" spans="1:4">
      <c r="A19" s="9">
        <v>40725</v>
      </c>
      <c r="B19" s="8">
        <v>309</v>
      </c>
      <c r="C19" s="8">
        <v>0.03</v>
      </c>
      <c r="D19" s="8"/>
    </row>
    <row r="20" spans="1:4">
      <c r="A20" s="9">
        <v>40756</v>
      </c>
      <c r="B20" s="8">
        <v>202</v>
      </c>
      <c r="C20" s="8">
        <v>0.1</v>
      </c>
      <c r="D20" s="8"/>
    </row>
    <row r="21" spans="1:4">
      <c r="A21" s="9">
        <v>40787</v>
      </c>
      <c r="B21" s="8">
        <v>105</v>
      </c>
      <c r="C21" s="8">
        <v>0</v>
      </c>
      <c r="D21" s="8"/>
    </row>
    <row r="22" spans="1:4">
      <c r="A22" s="9">
        <v>40817</v>
      </c>
      <c r="B22" s="8">
        <v>15</v>
      </c>
      <c r="C22" s="8">
        <v>0</v>
      </c>
      <c r="D22" s="8"/>
    </row>
    <row r="23" spans="1:4">
      <c r="A23" s="9">
        <v>40848</v>
      </c>
      <c r="B23" s="8">
        <v>2</v>
      </c>
      <c r="C23" s="8">
        <v>0.1</v>
      </c>
      <c r="D23" s="8"/>
    </row>
    <row r="24" spans="1:4">
      <c r="A24" s="9">
        <v>40878</v>
      </c>
      <c r="B24" s="8">
        <v>0</v>
      </c>
      <c r="C24" s="8">
        <v>0</v>
      </c>
      <c r="D24" s="8"/>
    </row>
    <row r="25" spans="1:4">
      <c r="A25" s="9">
        <v>40909</v>
      </c>
      <c r="B25" s="8">
        <v>0</v>
      </c>
      <c r="C25" s="8">
        <v>0</v>
      </c>
      <c r="D25" s="8"/>
    </row>
    <row r="26" spans="1:4">
      <c r="A26" s="9">
        <v>40940</v>
      </c>
      <c r="B26" s="8">
        <v>0</v>
      </c>
      <c r="C26" s="8">
        <v>0.03</v>
      </c>
      <c r="D26" s="8"/>
    </row>
    <row r="27" spans="1:4">
      <c r="A27" s="9">
        <v>40969</v>
      </c>
      <c r="B27" s="8">
        <v>23</v>
      </c>
      <c r="C27" s="8">
        <v>0</v>
      </c>
      <c r="D27" s="8"/>
    </row>
    <row r="28" spans="1:4">
      <c r="A28" s="9">
        <v>41000</v>
      </c>
      <c r="B28" s="8">
        <v>26</v>
      </c>
      <c r="C28" s="8">
        <v>0.03</v>
      </c>
      <c r="D28" s="8"/>
    </row>
    <row r="29" spans="1:4">
      <c r="A29" s="9">
        <v>41030</v>
      </c>
      <c r="B29" s="8">
        <v>60</v>
      </c>
      <c r="C29" s="8">
        <v>0.06</v>
      </c>
      <c r="D29" s="8"/>
    </row>
    <row r="30" spans="1:4">
      <c r="A30" s="9">
        <v>41061</v>
      </c>
      <c r="B30" s="8">
        <v>128</v>
      </c>
      <c r="C30" s="8">
        <v>7.0000000000000007E-2</v>
      </c>
      <c r="D30" s="8"/>
    </row>
    <row r="31" spans="1:4">
      <c r="A31" s="9">
        <v>41091</v>
      </c>
      <c r="B31" s="8">
        <v>291</v>
      </c>
      <c r="C31" s="8">
        <v>0.1</v>
      </c>
      <c r="D31" s="8"/>
    </row>
    <row r="32" spans="1:4">
      <c r="A32" s="9">
        <v>41122</v>
      </c>
      <c r="B32" s="8">
        <v>267</v>
      </c>
      <c r="C32" s="8">
        <v>0.03</v>
      </c>
      <c r="D32" s="8"/>
    </row>
    <row r="33" spans="1:4">
      <c r="A33" s="9">
        <v>41153</v>
      </c>
      <c r="B33" s="8">
        <v>81</v>
      </c>
      <c r="C33" s="8">
        <v>0</v>
      </c>
      <c r="D33" s="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R27"/>
  <sheetViews>
    <sheetView topLeftCell="A2" workbookViewId="0">
      <selection activeCell="Q25" sqref="Q25"/>
    </sheetView>
  </sheetViews>
  <sheetFormatPr defaultColWidth="8.85546875" defaultRowHeight="15"/>
  <cols>
    <col min="4" max="5" width="8.85546875" style="8"/>
    <col min="13" max="13" width="8.85546875" style="8"/>
    <col min="15" max="15" width="16.7109375" bestFit="1" customWidth="1"/>
    <col min="17" max="17" width="10.5703125" bestFit="1" customWidth="1"/>
  </cols>
  <sheetData>
    <row r="1" spans="1:18">
      <c r="A1" s="8" t="s">
        <v>62</v>
      </c>
      <c r="B1" s="8"/>
      <c r="C1" s="8"/>
      <c r="F1" s="8"/>
      <c r="G1" s="8"/>
      <c r="H1" s="8"/>
      <c r="I1" s="8"/>
      <c r="J1" s="8"/>
      <c r="K1" s="8"/>
      <c r="L1" s="8"/>
      <c r="N1" s="8"/>
      <c r="O1" s="8"/>
      <c r="P1" s="8"/>
    </row>
    <row r="2" spans="1:18">
      <c r="A2" s="8"/>
      <c r="B2" s="8"/>
      <c r="C2" s="8"/>
      <c r="F2" s="8"/>
      <c r="G2" s="8"/>
      <c r="H2" s="8"/>
      <c r="I2" s="8"/>
      <c r="J2" s="8"/>
      <c r="K2" s="8"/>
      <c r="L2" s="8"/>
      <c r="N2" s="8"/>
      <c r="O2" s="8"/>
      <c r="P2" s="8"/>
    </row>
    <row r="3" spans="1:18">
      <c r="A3" s="8"/>
      <c r="B3" s="8"/>
      <c r="C3" s="8"/>
      <c r="F3" s="8"/>
      <c r="G3" s="8"/>
      <c r="H3" s="8"/>
      <c r="I3" s="8"/>
      <c r="J3" s="8"/>
      <c r="K3" s="8"/>
      <c r="L3" s="8"/>
      <c r="N3" s="8"/>
      <c r="O3" s="8"/>
      <c r="P3" s="8"/>
    </row>
    <row r="4" spans="1:18">
      <c r="A4" s="8"/>
      <c r="B4" s="8"/>
      <c r="C4" s="8" t="s">
        <v>73</v>
      </c>
      <c r="F4" s="8" t="str">
        <f>HDD!B4</f>
        <v>Bedford, MA, US (71.29W,42.47N)</v>
      </c>
      <c r="G4" s="8"/>
      <c r="H4" s="8"/>
      <c r="I4" s="8"/>
      <c r="J4" s="92" t="s">
        <v>67</v>
      </c>
      <c r="K4" s="92"/>
      <c r="L4" s="92"/>
      <c r="M4" s="73"/>
      <c r="N4" s="62"/>
      <c r="O4" s="8"/>
      <c r="P4" s="8"/>
    </row>
    <row r="5" spans="1:18" ht="64.5">
      <c r="A5" s="8" t="s">
        <v>63</v>
      </c>
      <c r="B5" s="8" t="s">
        <v>64</v>
      </c>
      <c r="C5" s="8" t="s">
        <v>51</v>
      </c>
      <c r="D5" s="8" t="s">
        <v>80</v>
      </c>
      <c r="F5" s="8" t="s">
        <v>65</v>
      </c>
      <c r="G5" s="8" t="s">
        <v>66</v>
      </c>
      <c r="H5" s="8"/>
      <c r="I5" s="8"/>
      <c r="J5" s="63" t="s">
        <v>68</v>
      </c>
      <c r="K5" s="63" t="s">
        <v>69</v>
      </c>
      <c r="L5" s="63" t="s">
        <v>70</v>
      </c>
      <c r="M5" s="63" t="s">
        <v>81</v>
      </c>
      <c r="N5" s="64" t="s">
        <v>82</v>
      </c>
      <c r="O5" s="74" t="s">
        <v>83</v>
      </c>
      <c r="P5" s="74"/>
    </row>
    <row r="6" spans="1:18">
      <c r="A6" s="8"/>
      <c r="B6" s="8"/>
      <c r="C6" s="8"/>
      <c r="D6" s="8" t="s">
        <v>71</v>
      </c>
      <c r="E6" s="8" t="s">
        <v>72</v>
      </c>
      <c r="F6" s="8"/>
      <c r="G6" s="8"/>
      <c r="H6" s="8"/>
      <c r="I6" s="8"/>
      <c r="J6" s="62"/>
      <c r="K6" s="62"/>
      <c r="L6" s="62"/>
      <c r="M6" s="62"/>
      <c r="N6" s="62"/>
      <c r="O6" s="8"/>
      <c r="P6" s="8"/>
      <c r="Q6" s="8" t="s">
        <v>93</v>
      </c>
    </row>
    <row r="7" spans="1:18">
      <c r="A7" s="8"/>
      <c r="B7" s="8"/>
      <c r="C7" s="8"/>
      <c r="F7" s="8"/>
      <c r="G7" s="8"/>
      <c r="H7" s="8"/>
      <c r="I7" s="8"/>
      <c r="J7" s="65"/>
      <c r="K7" s="66"/>
      <c r="L7" s="66"/>
      <c r="M7" s="66"/>
      <c r="N7" s="66"/>
      <c r="O7" s="8"/>
      <c r="P7" s="8"/>
      <c r="Q7" s="8" t="s">
        <v>91</v>
      </c>
      <c r="R7" s="8" t="s">
        <v>92</v>
      </c>
    </row>
    <row r="8" spans="1:18">
      <c r="A8" s="1">
        <f>'Energy Use'!B19</f>
        <v>40735</v>
      </c>
      <c r="B8" s="8"/>
      <c r="C8" s="13"/>
      <c r="D8" s="13"/>
      <c r="E8" s="13"/>
      <c r="F8" s="8">
        <f>CDD!B19</f>
        <v>309</v>
      </c>
      <c r="G8" s="8">
        <f>HDD!B26</f>
        <v>20</v>
      </c>
      <c r="H8" s="8"/>
      <c r="I8" s="8"/>
      <c r="J8" s="67"/>
      <c r="K8" s="68">
        <v>39</v>
      </c>
      <c r="L8" s="68">
        <v>3</v>
      </c>
      <c r="M8" s="69"/>
      <c r="N8" s="69"/>
      <c r="O8" s="8"/>
      <c r="P8" s="8"/>
      <c r="Q8" s="44"/>
      <c r="R8" s="28"/>
    </row>
    <row r="9" spans="1:18">
      <c r="A9" s="1">
        <f>'Energy Use'!B20</f>
        <v>40766</v>
      </c>
      <c r="B9" s="8"/>
      <c r="C9" s="13"/>
      <c r="D9" s="13"/>
      <c r="E9" s="13"/>
      <c r="F9" s="8">
        <f>CDD!B20</f>
        <v>202</v>
      </c>
      <c r="G9" s="8">
        <f>HDD!B27</f>
        <v>31</v>
      </c>
      <c r="H9" s="8"/>
      <c r="I9" s="8"/>
      <c r="J9" s="70"/>
      <c r="K9" s="69">
        <v>6</v>
      </c>
      <c r="L9" s="69">
        <v>5</v>
      </c>
      <c r="M9" s="85">
        <f t="shared" ref="M9:M14" si="0">0.0142*L9+0.6664</f>
        <v>0.73740000000000006</v>
      </c>
      <c r="N9" s="71"/>
      <c r="O9" s="19"/>
      <c r="P9" s="19"/>
      <c r="Q9" s="46"/>
      <c r="R9" s="30"/>
    </row>
    <row r="10" spans="1:18">
      <c r="A10" s="1">
        <f>'Energy Use'!B21</f>
        <v>40797</v>
      </c>
      <c r="B10" s="8"/>
      <c r="C10" s="13"/>
      <c r="D10" s="13"/>
      <c r="E10" s="13"/>
      <c r="F10" s="8">
        <f>CDD!B21</f>
        <v>105</v>
      </c>
      <c r="G10" s="8">
        <f>HDD!B28</f>
        <v>108</v>
      </c>
      <c r="H10" s="8"/>
      <c r="I10" s="8"/>
      <c r="J10" s="70"/>
      <c r="K10" s="69">
        <v>13</v>
      </c>
      <c r="L10" s="69">
        <v>66</v>
      </c>
      <c r="M10" s="86">
        <f t="shared" si="0"/>
        <v>1.6036000000000001</v>
      </c>
      <c r="N10" s="71"/>
      <c r="O10" s="19"/>
      <c r="P10" s="19"/>
      <c r="Q10" s="46"/>
      <c r="R10" s="30"/>
    </row>
    <row r="11" spans="1:18">
      <c r="A11" s="1">
        <f>'Energy Use'!B22</f>
        <v>40827</v>
      </c>
      <c r="B11" s="8"/>
      <c r="C11" s="13"/>
      <c r="D11" s="13"/>
      <c r="E11" s="13"/>
      <c r="F11" s="8">
        <f>CDD!B22</f>
        <v>15</v>
      </c>
      <c r="G11" s="8">
        <f>HDD!B29</f>
        <v>418</v>
      </c>
      <c r="H11" s="8"/>
      <c r="I11" s="8"/>
      <c r="J11" s="72"/>
      <c r="K11" s="66">
        <v>36</v>
      </c>
      <c r="L11" s="66">
        <v>348</v>
      </c>
      <c r="M11" s="86">
        <f t="shared" si="0"/>
        <v>5.6080000000000005</v>
      </c>
      <c r="N11" s="71"/>
      <c r="O11" s="19"/>
      <c r="P11" s="19"/>
      <c r="Q11" s="46"/>
      <c r="R11" s="30"/>
    </row>
    <row r="12" spans="1:18">
      <c r="A12" s="1">
        <f>'Energy Use'!B23</f>
        <v>40858</v>
      </c>
      <c r="B12" s="8"/>
      <c r="C12" s="13"/>
      <c r="D12" s="13"/>
      <c r="E12" s="13"/>
      <c r="F12" s="8">
        <f>CDD!B23</f>
        <v>2</v>
      </c>
      <c r="G12" s="8">
        <f>HDD!B30</f>
        <v>563</v>
      </c>
      <c r="H12" s="8"/>
      <c r="I12" s="8"/>
      <c r="J12" s="72"/>
      <c r="K12" s="66">
        <v>87</v>
      </c>
      <c r="L12" s="66">
        <v>652</v>
      </c>
      <c r="M12" s="86">
        <f t="shared" si="0"/>
        <v>9.9247999999999994</v>
      </c>
      <c r="N12" s="71"/>
      <c r="O12" s="19"/>
      <c r="P12" s="19"/>
      <c r="Q12" s="46"/>
      <c r="R12" s="30"/>
    </row>
    <row r="13" spans="1:18">
      <c r="A13" s="1">
        <f>'Energy Use'!B24</f>
        <v>40888</v>
      </c>
      <c r="B13" s="8"/>
      <c r="C13" s="13"/>
      <c r="D13" s="13"/>
      <c r="E13" s="13"/>
      <c r="F13" s="8">
        <f>CDD!B24</f>
        <v>0</v>
      </c>
      <c r="G13" s="8">
        <f>HDD!B31</f>
        <v>882</v>
      </c>
      <c r="H13" s="8"/>
      <c r="I13" s="8"/>
      <c r="J13" s="72"/>
      <c r="K13" s="66">
        <v>212</v>
      </c>
      <c r="L13" s="66">
        <v>902</v>
      </c>
      <c r="M13" s="86">
        <f t="shared" si="0"/>
        <v>13.4748</v>
      </c>
      <c r="N13" s="71"/>
      <c r="O13" s="19"/>
      <c r="P13" s="19"/>
      <c r="Q13" s="46"/>
      <c r="R13" s="30"/>
    </row>
    <row r="14" spans="1:18">
      <c r="A14" s="1">
        <f>'Energy Use'!B25</f>
        <v>40920</v>
      </c>
      <c r="B14" s="8"/>
      <c r="C14" s="13"/>
      <c r="D14" s="13"/>
      <c r="E14" s="13"/>
      <c r="F14" s="8">
        <f>CDD!B25</f>
        <v>0</v>
      </c>
      <c r="G14" s="8">
        <f>HDD!B32</f>
        <v>1053</v>
      </c>
      <c r="H14" s="13"/>
      <c r="I14" s="8"/>
      <c r="J14" s="72"/>
      <c r="K14" s="66">
        <v>389</v>
      </c>
      <c r="L14" s="66">
        <v>1189</v>
      </c>
      <c r="M14" s="87">
        <f t="shared" si="0"/>
        <v>17.5502</v>
      </c>
      <c r="N14" s="71"/>
      <c r="O14" s="39"/>
      <c r="P14" s="19"/>
      <c r="Q14" s="38">
        <f>SUM(M9:M14)+SUM(D15:D20)</f>
        <v>68.05596899999999</v>
      </c>
      <c r="R14" s="40">
        <f>SUM(M9:M14)*'Energy Use'!$E$5+SUM(D15:D20)*'Energy Use'!$E$4</f>
        <v>115.18198805999998</v>
      </c>
    </row>
    <row r="15" spans="1:18">
      <c r="A15" s="1">
        <f>'Energy Use'!B26</f>
        <v>40940</v>
      </c>
      <c r="B15" s="8"/>
      <c r="C15" s="13"/>
      <c r="D15" s="13">
        <f>'Energy Use'!R26</f>
        <v>3.0000269999999998</v>
      </c>
      <c r="E15" s="13">
        <f>'Energy Use'!D26</f>
        <v>13.100000000000001</v>
      </c>
      <c r="F15" s="8">
        <f>CDD!B26</f>
        <v>0</v>
      </c>
      <c r="G15" s="8">
        <f>HDD!B33</f>
        <v>895</v>
      </c>
      <c r="H15" s="13"/>
      <c r="I15" s="8"/>
      <c r="J15" s="72"/>
      <c r="K15" s="66">
        <v>472</v>
      </c>
      <c r="L15" s="66">
        <v>950</v>
      </c>
      <c r="M15" s="80">
        <f>0.0142*L15+0.6664</f>
        <v>14.1564</v>
      </c>
      <c r="N15" s="80">
        <f>D15+M15</f>
        <v>17.156427000000001</v>
      </c>
      <c r="O15" s="39">
        <f>'Energy Use'!$E$4*D15+'Energy Use'!$E$5*M15</f>
        <v>24.841840979999997</v>
      </c>
      <c r="P15" s="39"/>
      <c r="Q15" s="46"/>
      <c r="R15" s="30"/>
    </row>
    <row r="16" spans="1:18">
      <c r="A16" s="1">
        <f>'Energy Use'!B27</f>
        <v>40969</v>
      </c>
      <c r="B16" s="8"/>
      <c r="C16" s="13"/>
      <c r="D16" s="13">
        <f>'Energy Use'!R27</f>
        <v>3.211633</v>
      </c>
      <c r="E16" s="13">
        <f>'Energy Use'!D27</f>
        <v>11.600000000000001</v>
      </c>
      <c r="F16" s="8">
        <f>CDD!B27</f>
        <v>23</v>
      </c>
      <c r="G16" s="8">
        <f>HDD!B34</f>
        <v>652</v>
      </c>
      <c r="H16" s="13"/>
      <c r="I16" s="8"/>
      <c r="J16" s="72"/>
      <c r="K16" s="66">
        <v>533</v>
      </c>
      <c r="L16" s="66">
        <v>813</v>
      </c>
      <c r="M16" s="80">
        <f t="shared" ref="M16:M20" si="1">0.0142*L16+0.6664</f>
        <v>12.211</v>
      </c>
      <c r="N16" s="80">
        <f t="shared" ref="N16:N20" si="2">D16+M16</f>
        <v>15.422633000000001</v>
      </c>
      <c r="O16" s="39">
        <f>'Energy Use'!$E$4*D16+'Energy Use'!$E$5*M16</f>
        <v>23.51177122</v>
      </c>
      <c r="P16" s="39"/>
      <c r="Q16" s="46"/>
      <c r="R16" s="30"/>
    </row>
    <row r="17" spans="1:18">
      <c r="A17" s="1">
        <f>'Energy Use'!B28</f>
        <v>41000</v>
      </c>
      <c r="B17" s="8"/>
      <c r="C17" s="13"/>
      <c r="D17" s="13">
        <f>'Energy Use'!R28</f>
        <v>2.3276659999999998</v>
      </c>
      <c r="E17" s="13">
        <f>'Energy Use'!D28</f>
        <v>5.6000000000000005</v>
      </c>
      <c r="F17" s="8">
        <f>CDD!B28</f>
        <v>26</v>
      </c>
      <c r="G17" s="8">
        <f>HDD!B35</f>
        <v>463</v>
      </c>
      <c r="H17" s="13"/>
      <c r="I17" s="8"/>
      <c r="J17" s="72"/>
      <c r="K17" s="66">
        <v>505</v>
      </c>
      <c r="L17" s="66">
        <v>537</v>
      </c>
      <c r="M17" s="80">
        <f t="shared" si="1"/>
        <v>8.2918000000000003</v>
      </c>
      <c r="N17" s="80">
        <f t="shared" si="2"/>
        <v>10.619465999999999</v>
      </c>
      <c r="O17" s="39">
        <f>'Energy Use'!$E$4*D17+'Energy Use'!$E$5*M17</f>
        <v>16.455919039999998</v>
      </c>
      <c r="P17" s="39"/>
      <c r="Q17" s="46"/>
      <c r="R17" s="30"/>
    </row>
    <row r="18" spans="1:18">
      <c r="A18" s="1">
        <f>'Energy Use'!B29</f>
        <v>41030</v>
      </c>
      <c r="B18" s="8"/>
      <c r="C18" s="13"/>
      <c r="D18" s="13">
        <f>'Energy Use'!R29</f>
        <v>2.6689659999999997</v>
      </c>
      <c r="E18" s="13">
        <f>'Energy Use'!D29</f>
        <v>3.2</v>
      </c>
      <c r="F18" s="8">
        <f>CDD!B29</f>
        <v>60</v>
      </c>
      <c r="G18" s="8">
        <f>HDD!B36</f>
        <v>208</v>
      </c>
      <c r="H18" s="13"/>
      <c r="I18" s="8"/>
      <c r="J18" s="72"/>
      <c r="K18" s="66">
        <v>343</v>
      </c>
      <c r="L18" s="66">
        <v>204</v>
      </c>
      <c r="M18" s="80">
        <f t="shared" si="1"/>
        <v>3.5632000000000001</v>
      </c>
      <c r="N18" s="80">
        <f t="shared" si="2"/>
        <v>6.2321659999999994</v>
      </c>
      <c r="O18" s="39">
        <f>'Energy Use'!$E$4*D18+'Energy Use'!$E$5*M18</f>
        <v>12.645016839999998</v>
      </c>
      <c r="P18" s="39"/>
      <c r="Q18" s="46"/>
      <c r="R18" s="30"/>
    </row>
    <row r="19" spans="1:18">
      <c r="A19" s="1">
        <f>'Energy Use'!B30</f>
        <v>41061</v>
      </c>
      <c r="B19" s="8"/>
      <c r="C19" s="13"/>
      <c r="D19" s="13">
        <f>'Energy Use'!R30</f>
        <v>3.2082199999999998</v>
      </c>
      <c r="E19" s="13">
        <f>'Energy Use'!D30</f>
        <v>2.1</v>
      </c>
      <c r="F19" s="8">
        <f>CDD!B30</f>
        <v>128</v>
      </c>
      <c r="G19" s="8">
        <f>HDD!B37</f>
        <v>121</v>
      </c>
      <c r="H19" s="13"/>
      <c r="I19" s="8"/>
      <c r="J19" s="72"/>
      <c r="K19" s="66">
        <v>118</v>
      </c>
      <c r="L19" s="66">
        <v>87</v>
      </c>
      <c r="M19" s="80">
        <f t="shared" si="1"/>
        <v>1.9018000000000002</v>
      </c>
      <c r="N19" s="80">
        <f t="shared" si="2"/>
        <v>5.1100200000000005</v>
      </c>
      <c r="O19" s="39">
        <f>'Energy Use'!$E$4*D19+'Energy Use'!$E$5*M19</f>
        <v>12.7066394</v>
      </c>
      <c r="P19" s="39"/>
      <c r="Q19" s="46"/>
      <c r="R19" s="30"/>
    </row>
    <row r="20" spans="1:18">
      <c r="A20" s="1">
        <f>'Energy Use'!B31</f>
        <v>41101</v>
      </c>
      <c r="B20" s="8"/>
      <c r="C20" s="13"/>
      <c r="D20" s="13">
        <f>'Energy Use'!R31</f>
        <v>4.7406569999999997</v>
      </c>
      <c r="E20" s="13">
        <f>'Energy Use'!D31</f>
        <v>1.9000000000000001</v>
      </c>
      <c r="F20" s="8">
        <f>CDD!B31</f>
        <v>291</v>
      </c>
      <c r="G20" s="8">
        <f>HDD!B38</f>
        <v>22</v>
      </c>
      <c r="H20" s="13"/>
      <c r="I20" s="8"/>
      <c r="J20" s="67"/>
      <c r="K20" s="68">
        <v>39</v>
      </c>
      <c r="L20" s="68">
        <v>3</v>
      </c>
      <c r="M20" s="80">
        <f t="shared" si="1"/>
        <v>0.70899999999999996</v>
      </c>
      <c r="N20" s="81">
        <f t="shared" si="2"/>
        <v>5.4496569999999993</v>
      </c>
      <c r="O20" s="42">
        <f>'Energy Use'!$E$4*D20+'Energy Use'!$E$5*M20</f>
        <v>16.576117379999999</v>
      </c>
      <c r="P20" s="42"/>
      <c r="Q20" s="46"/>
      <c r="R20" s="30"/>
    </row>
    <row r="21" spans="1:18">
      <c r="A21" s="8"/>
      <c r="B21" s="8"/>
      <c r="C21" s="8"/>
      <c r="F21" s="8"/>
      <c r="G21" s="8"/>
      <c r="H21" s="8"/>
      <c r="I21" s="8"/>
      <c r="J21" s="72"/>
      <c r="K21" s="69"/>
      <c r="L21" s="69"/>
      <c r="M21" s="69" t="s">
        <v>75</v>
      </c>
      <c r="N21" s="82">
        <f>SUM(N15:N20)</f>
        <v>59.990369000000001</v>
      </c>
      <c r="O21" s="13">
        <f>SUM(O15:O20)</f>
        <v>106.73730485999999</v>
      </c>
      <c r="P21" s="13"/>
      <c r="Q21" s="88"/>
      <c r="R21" s="61"/>
    </row>
    <row r="22" spans="1:18">
      <c r="A22" s="8"/>
      <c r="B22" s="8"/>
      <c r="C22" s="8"/>
      <c r="F22" s="8"/>
      <c r="G22" s="8"/>
      <c r="H22" s="8"/>
      <c r="I22" s="8"/>
      <c r="J22" s="72"/>
      <c r="K22" s="66"/>
      <c r="L22" s="66"/>
      <c r="M22" s="66"/>
      <c r="N22" s="82">
        <f>SUM(D15:D20)+SUM(E15:E20)</f>
        <v>56.657169000000003</v>
      </c>
      <c r="O22" s="8"/>
      <c r="P22" s="8"/>
    </row>
    <row r="24" spans="1:18">
      <c r="N24" s="75">
        <f>(N22-N21)/N22</f>
        <v>-5.88310368984373E-2</v>
      </c>
    </row>
    <row r="25" spans="1:18">
      <c r="A25" s="8" t="s">
        <v>86</v>
      </c>
      <c r="D25" s="13">
        <f>MIN(D15:D20)</f>
        <v>2.3276659999999998</v>
      </c>
      <c r="L25" s="8"/>
      <c r="M25" s="13">
        <f>MIN(M15:M20)</f>
        <v>0.70899999999999996</v>
      </c>
      <c r="N25" s="13"/>
      <c r="O25" s="42">
        <f>'Energy Use'!$E$4*D25+'Energy Use'!$E$5*M25</f>
        <v>8.5167274399999986</v>
      </c>
    </row>
    <row r="26" spans="1:18">
      <c r="N26" s="8" t="s">
        <v>88</v>
      </c>
      <c r="O26" s="13">
        <f>O21-6*O25</f>
        <v>55.63694022</v>
      </c>
    </row>
    <row r="27" spans="1:18">
      <c r="N27" s="8" t="s">
        <v>89</v>
      </c>
      <c r="O27" s="75">
        <f>O26/O21</f>
        <v>0.52125112483376979</v>
      </c>
    </row>
  </sheetData>
  <mergeCells count="1">
    <mergeCell ref="J4:L4"/>
  </mergeCells>
  <pageMargins left="0.7" right="0.7" top="0.75" bottom="0.75" header="0.3" footer="0.3"/>
  <pageSetup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Pre-Retrofit</vt:lpstr>
      <vt:lpstr>Gas</vt:lpstr>
      <vt:lpstr>Elec</vt:lpstr>
      <vt:lpstr>Energy Use</vt:lpstr>
      <vt:lpstr>HDD</vt:lpstr>
      <vt:lpstr>CDD</vt:lpstr>
      <vt:lpstr>Weather Lin Regr Analysis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</dc:creator>
  <cp:lastModifiedBy>Cathy</cp:lastModifiedBy>
  <dcterms:created xsi:type="dcterms:W3CDTF">2011-09-05T16:23:18Z</dcterms:created>
  <dcterms:modified xsi:type="dcterms:W3CDTF">2013-03-01T21:05:26Z</dcterms:modified>
</cp:coreProperties>
</file>