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3"/>
  </bookViews>
  <sheets>
    <sheet name="Pre-Retrofit" sheetId="9" r:id="rId1"/>
    <sheet name="Gas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S32" i="8"/>
  <c r="R32"/>
  <c r="E33"/>
  <c r="D33"/>
  <c r="M14" i="3" l="1"/>
  <c r="M13"/>
  <c r="M12"/>
  <c r="M11"/>
  <c r="M10"/>
  <c r="M9"/>
  <c r="O57" i="9"/>
  <c r="E57"/>
  <c r="H79"/>
  <c r="G79"/>
  <c r="F79"/>
  <c r="F78"/>
  <c r="F77"/>
  <c r="F76"/>
  <c r="F75"/>
  <c r="F74"/>
  <c r="F73"/>
  <c r="F72"/>
  <c r="F71"/>
  <c r="F70"/>
  <c r="F69"/>
  <c r="F68"/>
  <c r="F67"/>
  <c r="P55"/>
  <c r="P54"/>
  <c r="P53"/>
  <c r="P52"/>
  <c r="P51"/>
  <c r="P50"/>
  <c r="P49"/>
  <c r="P48"/>
  <c r="P47"/>
  <c r="P46"/>
  <c r="P45"/>
  <c r="P44"/>
  <c r="Q55"/>
  <c r="J55"/>
  <c r="L55" s="1"/>
  <c r="C55"/>
  <c r="M20" i="3" l="1"/>
  <c r="M19"/>
  <c r="M18"/>
  <c r="M17"/>
  <c r="M16"/>
  <c r="M15"/>
  <c r="A20"/>
  <c r="A19"/>
  <c r="A18"/>
  <c r="A17"/>
  <c r="A16"/>
  <c r="A15"/>
  <c r="A14"/>
  <c r="A13"/>
  <c r="A12"/>
  <c r="A11"/>
  <c r="A10"/>
  <c r="A9"/>
  <c r="G20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A8" l="1"/>
  <c r="F4"/>
  <c r="U36" i="8"/>
  <c r="T36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C54" i="9"/>
  <c r="C53"/>
  <c r="C52"/>
  <c r="D52" s="1"/>
  <c r="E52" s="1"/>
  <c r="C51"/>
  <c r="C50"/>
  <c r="C49"/>
  <c r="C48"/>
  <c r="D48" s="1"/>
  <c r="E48" s="1"/>
  <c r="C47"/>
  <c r="C46"/>
  <c r="C45"/>
  <c r="C44"/>
  <c r="D44" s="1"/>
  <c r="C43"/>
  <c r="C42"/>
  <c r="C41"/>
  <c r="C40"/>
  <c r="D40" s="1"/>
  <c r="E40" s="1"/>
  <c r="C39"/>
  <c r="Q54"/>
  <c r="J54"/>
  <c r="L54" s="1"/>
  <c r="Q53"/>
  <c r="J53"/>
  <c r="L53" s="1"/>
  <c r="O53" s="1"/>
  <c r="Q52"/>
  <c r="J52"/>
  <c r="L52" s="1"/>
  <c r="Q51"/>
  <c r="L51"/>
  <c r="J51"/>
  <c r="Q50"/>
  <c r="J50"/>
  <c r="L50" s="1"/>
  <c r="Q49"/>
  <c r="J49"/>
  <c r="L49" s="1"/>
  <c r="O49" s="1"/>
  <c r="Q48"/>
  <c r="J48"/>
  <c r="L48" s="1"/>
  <c r="Q47"/>
  <c r="L47"/>
  <c r="J47"/>
  <c r="Q46"/>
  <c r="J46"/>
  <c r="L46" s="1"/>
  <c r="Q45"/>
  <c r="J45"/>
  <c r="L45" s="1"/>
  <c r="O45" s="1"/>
  <c r="Q44"/>
  <c r="J44"/>
  <c r="L44" s="1"/>
  <c r="Q43"/>
  <c r="P43"/>
  <c r="J43"/>
  <c r="L43" s="1"/>
  <c r="O43" s="1"/>
  <c r="Q42"/>
  <c r="P42"/>
  <c r="J42"/>
  <c r="L42" s="1"/>
  <c r="Q41"/>
  <c r="P41"/>
  <c r="L41"/>
  <c r="J41"/>
  <c r="Q40"/>
  <c r="P40"/>
  <c r="J40"/>
  <c r="L40" s="1"/>
  <c r="Q39"/>
  <c r="P39"/>
  <c r="J39"/>
  <c r="L39" s="1"/>
  <c r="O39" s="1"/>
  <c r="J38"/>
  <c r="L38" s="1"/>
  <c r="O38" s="1"/>
  <c r="C38"/>
  <c r="D38" s="1"/>
  <c r="Q38"/>
  <c r="P38"/>
  <c r="E32"/>
  <c r="E31"/>
  <c r="D55" s="1"/>
  <c r="E30"/>
  <c r="E44" l="1"/>
  <c r="N55"/>
  <c r="V55" s="1"/>
  <c r="O55"/>
  <c r="G55"/>
  <c r="S55" s="1"/>
  <c r="E55"/>
  <c r="H55" s="1"/>
  <c r="T55" s="1"/>
  <c r="O40"/>
  <c r="W40" s="1"/>
  <c r="N38"/>
  <c r="V38" s="1"/>
  <c r="N41"/>
  <c r="O42"/>
  <c r="O46"/>
  <c r="W46" s="1"/>
  <c r="N47"/>
  <c r="O50"/>
  <c r="W50" s="1"/>
  <c r="N51"/>
  <c r="O54"/>
  <c r="W54" s="1"/>
  <c r="D39"/>
  <c r="E39" s="1"/>
  <c r="D43"/>
  <c r="E43" s="1"/>
  <c r="D47"/>
  <c r="E47" s="1"/>
  <c r="D51"/>
  <c r="E51" s="1"/>
  <c r="N39"/>
  <c r="O41"/>
  <c r="N43"/>
  <c r="O44"/>
  <c r="W44" s="1"/>
  <c r="N45"/>
  <c r="O47"/>
  <c r="O48"/>
  <c r="N49"/>
  <c r="O51"/>
  <c r="O52"/>
  <c r="W52" s="1"/>
  <c r="N53"/>
  <c r="D41"/>
  <c r="E41" s="1"/>
  <c r="D42"/>
  <c r="E42" s="1"/>
  <c r="D45"/>
  <c r="E45" s="1"/>
  <c r="D46"/>
  <c r="E46" s="1"/>
  <c r="D49"/>
  <c r="E49" s="1"/>
  <c r="D50"/>
  <c r="E50" s="1"/>
  <c r="D53"/>
  <c r="E53" s="1"/>
  <c r="D54"/>
  <c r="E54" s="1"/>
  <c r="E38"/>
  <c r="G38"/>
  <c r="S38" s="1"/>
  <c r="H40"/>
  <c r="T40" s="1"/>
  <c r="G41"/>
  <c r="S41" s="1"/>
  <c r="W42"/>
  <c r="H42"/>
  <c r="T42" s="1"/>
  <c r="G43"/>
  <c r="S43" s="1"/>
  <c r="H44"/>
  <c r="T44" s="1"/>
  <c r="V47"/>
  <c r="G47"/>
  <c r="S47" s="1"/>
  <c r="G49"/>
  <c r="S49" s="1"/>
  <c r="V39"/>
  <c r="G39"/>
  <c r="S39" s="1"/>
  <c r="G45"/>
  <c r="S45" s="1"/>
  <c r="H46"/>
  <c r="T46" s="1"/>
  <c r="W48"/>
  <c r="H48"/>
  <c r="T48" s="1"/>
  <c r="H50"/>
  <c r="T50" s="1"/>
  <c r="G51"/>
  <c r="S51" s="1"/>
  <c r="H52"/>
  <c r="T52" s="1"/>
  <c r="G53"/>
  <c r="S53" s="1"/>
  <c r="H54"/>
  <c r="T54" s="1"/>
  <c r="G40"/>
  <c r="S40" s="1"/>
  <c r="N40"/>
  <c r="V40" s="1"/>
  <c r="G42"/>
  <c r="S42" s="1"/>
  <c r="N42"/>
  <c r="V42" s="1"/>
  <c r="G44"/>
  <c r="S44" s="1"/>
  <c r="N44"/>
  <c r="G46"/>
  <c r="S46" s="1"/>
  <c r="N46"/>
  <c r="V46"/>
  <c r="G48"/>
  <c r="S48" s="1"/>
  <c r="N48"/>
  <c r="V48" s="1"/>
  <c r="G50"/>
  <c r="S50" s="1"/>
  <c r="N50"/>
  <c r="V50" s="1"/>
  <c r="G52"/>
  <c r="S52" s="1"/>
  <c r="N52"/>
  <c r="V52" s="1"/>
  <c r="G54"/>
  <c r="S54" s="1"/>
  <c r="N54"/>
  <c r="V54"/>
  <c r="V44" l="1"/>
  <c r="N57"/>
  <c r="S58"/>
  <c r="V53"/>
  <c r="V51"/>
  <c r="V45"/>
  <c r="V49"/>
  <c r="V43"/>
  <c r="V41"/>
  <c r="V57" s="1"/>
  <c r="W55"/>
  <c r="D57"/>
  <c r="S57"/>
  <c r="W38"/>
  <c r="H38"/>
  <c r="T38" s="1"/>
  <c r="W45"/>
  <c r="W58" s="1"/>
  <c r="H45"/>
  <c r="T45" s="1"/>
  <c r="T58" s="1"/>
  <c r="W43"/>
  <c r="H43"/>
  <c r="T43" s="1"/>
  <c r="W51"/>
  <c r="H51"/>
  <c r="T51" s="1"/>
  <c r="W39"/>
  <c r="H39"/>
  <c r="T39" s="1"/>
  <c r="W47"/>
  <c r="H47"/>
  <c r="T47" s="1"/>
  <c r="W41"/>
  <c r="H41"/>
  <c r="T41" s="1"/>
  <c r="W53"/>
  <c r="H53"/>
  <c r="T53" s="1"/>
  <c r="W49"/>
  <c r="H49"/>
  <c r="T49" s="1"/>
  <c r="V58" l="1"/>
  <c r="W57"/>
  <c r="T57"/>
  <c r="D33" i="2" l="1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11"/>
  <c r="K20" i="9"/>
  <c r="K26"/>
  <c r="C20"/>
  <c r="C26"/>
  <c r="C32" i="8"/>
  <c r="C30"/>
  <c r="C28"/>
  <c r="C26"/>
  <c r="C11"/>
  <c r="C27" l="1"/>
  <c r="D27" s="1"/>
  <c r="E16" i="3" s="1"/>
  <c r="C29" i="8"/>
  <c r="C36" s="1"/>
  <c r="D36" s="1"/>
  <c r="C31"/>
  <c r="C14"/>
  <c r="C25"/>
  <c r="D25" s="1"/>
  <c r="C24"/>
  <c r="C23"/>
  <c r="D23" s="1"/>
  <c r="C22"/>
  <c r="C21"/>
  <c r="D21" s="1"/>
  <c r="C20"/>
  <c r="C19"/>
  <c r="D19" s="1"/>
  <c r="C18"/>
  <c r="C17"/>
  <c r="C16"/>
  <c r="C15"/>
  <c r="C13"/>
  <c r="C12"/>
  <c r="D12" s="1"/>
  <c r="G12" s="1"/>
  <c r="C10"/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G33" i="2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L8" i="8"/>
  <c r="K8"/>
  <c r="U12"/>
  <c r="T12"/>
  <c r="U11"/>
  <c r="T11"/>
  <c r="U10"/>
  <c r="T10"/>
  <c r="N12"/>
  <c r="N11"/>
  <c r="N10"/>
  <c r="L12"/>
  <c r="L11"/>
  <c r="M11" s="1"/>
  <c r="L10"/>
  <c r="D10"/>
  <c r="G10" s="1"/>
  <c r="D11"/>
  <c r="G11" s="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L31"/>
  <c r="L30"/>
  <c r="M30" s="1"/>
  <c r="L29"/>
  <c r="L28"/>
  <c r="M28" s="1"/>
  <c r="L27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D31"/>
  <c r="E20" i="3" s="1"/>
  <c r="E1" i="8"/>
  <c r="E2"/>
  <c r="E3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D30"/>
  <c r="E19" i="3" s="1"/>
  <c r="D29" i="8"/>
  <c r="E18" i="3" s="1"/>
  <c r="D28" i="8"/>
  <c r="E17" i="3" s="1"/>
  <c r="D26" i="8"/>
  <c r="E15" i="3" s="1"/>
  <c r="D24" i="8"/>
  <c r="D22"/>
  <c r="D20"/>
  <c r="D13"/>
  <c r="D14"/>
  <c r="D15"/>
  <c r="D16"/>
  <c r="D17"/>
  <c r="D18"/>
  <c r="G36" l="1"/>
  <c r="E36"/>
  <c r="H36" s="1"/>
  <c r="C38"/>
  <c r="M27"/>
  <c r="M38" s="1"/>
  <c r="M29"/>
  <c r="M31"/>
  <c r="P31" s="1"/>
  <c r="M10"/>
  <c r="M12"/>
  <c r="P29"/>
  <c r="P13"/>
  <c r="P15"/>
  <c r="P17"/>
  <c r="P21"/>
  <c r="P23"/>
  <c r="P25"/>
  <c r="P27"/>
  <c r="E11"/>
  <c r="H11" s="1"/>
  <c r="W11"/>
  <c r="P14"/>
  <c r="P18"/>
  <c r="P20"/>
  <c r="P22"/>
  <c r="P10"/>
  <c r="W12"/>
  <c r="S10"/>
  <c r="S11"/>
  <c r="E10"/>
  <c r="H10" s="1"/>
  <c r="E12"/>
  <c r="H12" s="1"/>
  <c r="P24"/>
  <c r="P26"/>
  <c r="P28"/>
  <c r="P16"/>
  <c r="P30"/>
  <c r="P19"/>
  <c r="G31"/>
  <c r="E31"/>
  <c r="G30"/>
  <c r="E30"/>
  <c r="G29"/>
  <c r="E29"/>
  <c r="G28"/>
  <c r="E28"/>
  <c r="G27"/>
  <c r="E27"/>
  <c r="G26"/>
  <c r="E26"/>
  <c r="E40" s="1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M36" l="1"/>
  <c r="W36"/>
  <c r="R25"/>
  <c r="Z25" s="1"/>
  <c r="S29"/>
  <c r="AA29" s="1"/>
  <c r="S28"/>
  <c r="AA28" s="1"/>
  <c r="R15"/>
  <c r="Z15" s="1"/>
  <c r="R28"/>
  <c r="S17"/>
  <c r="AA17" s="1"/>
  <c r="W24"/>
  <c r="W28"/>
  <c r="W29"/>
  <c r="W30"/>
  <c r="W31"/>
  <c r="R29"/>
  <c r="R21"/>
  <c r="Z21" s="1"/>
  <c r="S31"/>
  <c r="AA31" s="1"/>
  <c r="R14"/>
  <c r="Z14" s="1"/>
  <c r="W13"/>
  <c r="W17"/>
  <c r="W18"/>
  <c r="W22"/>
  <c r="W23"/>
  <c r="W27"/>
  <c r="S27"/>
  <c r="AA27" s="1"/>
  <c r="S30"/>
  <c r="AA30" s="1"/>
  <c r="S24"/>
  <c r="AA24" s="1"/>
  <c r="R27"/>
  <c r="R23"/>
  <c r="Z23" s="1"/>
  <c r="R17"/>
  <c r="Z17" s="1"/>
  <c r="R13"/>
  <c r="Z13" s="1"/>
  <c r="S23"/>
  <c r="AA23" s="1"/>
  <c r="S13"/>
  <c r="R11"/>
  <c r="Z11" s="1"/>
  <c r="W15"/>
  <c r="W21"/>
  <c r="W25"/>
  <c r="S14"/>
  <c r="AA14" s="1"/>
  <c r="S25"/>
  <c r="AA25" s="1"/>
  <c r="S21"/>
  <c r="AA21" s="1"/>
  <c r="S15"/>
  <c r="AA15" s="1"/>
  <c r="AA11"/>
  <c r="W20"/>
  <c r="S20"/>
  <c r="AA20" s="1"/>
  <c r="R20"/>
  <c r="Z20" s="1"/>
  <c r="W16"/>
  <c r="W14"/>
  <c r="R10"/>
  <c r="Z10" s="1"/>
  <c r="S26"/>
  <c r="S22"/>
  <c r="AA22" s="1"/>
  <c r="S18"/>
  <c r="AA18" s="1"/>
  <c r="P11"/>
  <c r="X11" s="1"/>
  <c r="P12"/>
  <c r="W19"/>
  <c r="W26"/>
  <c r="S16"/>
  <c r="AA16" s="1"/>
  <c r="R22"/>
  <c r="Z22" s="1"/>
  <c r="R18"/>
  <c r="Z18" s="1"/>
  <c r="R12"/>
  <c r="Z12" s="1"/>
  <c r="S12"/>
  <c r="AA12" s="1"/>
  <c r="W10"/>
  <c r="R31"/>
  <c r="R30"/>
  <c r="R24"/>
  <c r="Z24" s="1"/>
  <c r="X12"/>
  <c r="AA10"/>
  <c r="X10"/>
  <c r="R26"/>
  <c r="R19"/>
  <c r="Z19" s="1"/>
  <c r="S19"/>
  <c r="AA19" s="1"/>
  <c r="R16"/>
  <c r="Z16" s="1"/>
  <c r="H13"/>
  <c r="X13" s="1"/>
  <c r="AA13"/>
  <c r="H14"/>
  <c r="X14" s="1"/>
  <c r="H15"/>
  <c r="X15" s="1"/>
  <c r="H16"/>
  <c r="X16" s="1"/>
  <c r="H17"/>
  <c r="X17" s="1"/>
  <c r="H18"/>
  <c r="X18" s="1"/>
  <c r="H19"/>
  <c r="X19" s="1"/>
  <c r="H20"/>
  <c r="X20" s="1"/>
  <c r="H21"/>
  <c r="X21" s="1"/>
  <c r="H22"/>
  <c r="X22" s="1"/>
  <c r="H23"/>
  <c r="X23" s="1"/>
  <c r="H24"/>
  <c r="X24" s="1"/>
  <c r="H25"/>
  <c r="X25" s="1"/>
  <c r="H26"/>
  <c r="X26" s="1"/>
  <c r="H27"/>
  <c r="X27" s="1"/>
  <c r="H28"/>
  <c r="X28" s="1"/>
  <c r="H29"/>
  <c r="X29" s="1"/>
  <c r="H30"/>
  <c r="X30" s="1"/>
  <c r="H31"/>
  <c r="X31" s="1"/>
  <c r="Z30" l="1"/>
  <c r="D19" i="3"/>
  <c r="AA26" i="8"/>
  <c r="S40"/>
  <c r="Z26"/>
  <c r="D15" i="3"/>
  <c r="Z31" i="8"/>
  <c r="D20" i="3"/>
  <c r="Z27" i="8"/>
  <c r="D16" i="3"/>
  <c r="Z28" i="8"/>
  <c r="D17" i="3"/>
  <c r="S36" i="8"/>
  <c r="AA36" s="1"/>
  <c r="P36"/>
  <c r="X36" s="1"/>
  <c r="R36"/>
  <c r="Z36" s="1"/>
  <c r="Z29"/>
  <c r="Z40" s="1"/>
  <c r="D18" i="3"/>
  <c r="W40" i="8"/>
  <c r="AA40"/>
  <c r="X40"/>
  <c r="P17" i="3" l="1"/>
  <c r="N17"/>
  <c r="N16"/>
  <c r="P16"/>
  <c r="N20"/>
  <c r="P20"/>
  <c r="S14"/>
  <c r="R14"/>
  <c r="P15"/>
  <c r="N22"/>
  <c r="N15"/>
  <c r="P19"/>
  <c r="N19"/>
  <c r="P18"/>
  <c r="N18"/>
  <c r="N21" l="1"/>
  <c r="N24" s="1"/>
  <c r="P21"/>
</calcChain>
</file>

<file path=xl/comments1.xml><?xml version="1.0" encoding="utf-8"?>
<comments xmlns="http://schemas.openxmlformats.org/spreadsheetml/2006/main">
  <authors>
    <author>Cathy</author>
  </authors>
  <commentList>
    <comment ref="B32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Not included in data so just copied previous month</t>
        </r>
      </text>
    </comment>
  </commentList>
</comments>
</file>

<file path=xl/comments2.xml><?xml version="1.0" encoding="utf-8"?>
<comments xmlns="http://schemas.openxmlformats.org/spreadsheetml/2006/main">
  <authors>
    <author>Rosi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<sst xmlns="http://schemas.openxmlformats.org/spreadsheetml/2006/main" count="162" uniqueCount="92">
  <si>
    <t>therms</t>
  </si>
  <si>
    <t>HDD</t>
  </si>
  <si>
    <t>Electricity used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</si>
  <si>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</si>
  <si>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</si>
  <si>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</si>
  <si>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</si>
  <si>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</si>
  <si>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</si>
  <si>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</si>
  <si>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</si>
  <si>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</si>
  <si>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</si>
  <si>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</si>
  <si>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</si>
  <si>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</si>
  <si>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</si>
  <si>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</si>
  <si>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</si>
  <si>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</si>
  <si>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</si>
  <si>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</si>
  <si>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</si>
  <si>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</si>
  <si>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</si>
  <si>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</si>
  <si>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</si>
  <si>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</si>
  <si>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</si>
  <si>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</si>
  <si>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</si>
  <si>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</si>
  <si>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</si>
  <si>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Retrofit Completed</t>
  </si>
  <si>
    <t>House</t>
  </si>
  <si>
    <t>Brookline</t>
  </si>
  <si>
    <t>Aquiline</t>
  </si>
  <si>
    <t>Boston, MA, US (71.00W,42.36N)</t>
  </si>
  <si>
    <t>KBOS</t>
  </si>
  <si>
    <t>Boston</t>
  </si>
  <si>
    <t xml:space="preserve">Aquiline  -Nstar </t>
  </si>
  <si>
    <t>Project Start</t>
  </si>
  <si>
    <t>Therms</t>
  </si>
  <si>
    <t xml:space="preserve">Reading </t>
  </si>
  <si>
    <t>Brookline Pre-Retrofit</t>
  </si>
  <si>
    <t xml:space="preserve">Total </t>
  </si>
  <si>
    <t>Reading</t>
  </si>
  <si>
    <t>kwh</t>
  </si>
  <si>
    <t>Total</t>
  </si>
  <si>
    <t>Sep 2009 - Aug 2010</t>
  </si>
  <si>
    <t>Mar 2009 - Feb 2010</t>
  </si>
  <si>
    <t>Information from application</t>
  </si>
  <si>
    <t>Natural Gas usage</t>
  </si>
  <si>
    <t>Totals</t>
  </si>
  <si>
    <t>Mar 09 - Feb 10</t>
  </si>
  <si>
    <t>Sep 09 - Aug 10</t>
  </si>
  <si>
    <t>Total 6 months</t>
  </si>
  <si>
    <t>MIN USAGE IN 6 MOS</t>
  </si>
  <si>
    <t>Linear Regression on Post Retrofit data</t>
  </si>
  <si>
    <t xml:space="preserve">Month </t>
  </si>
  <si>
    <t>Date</t>
  </si>
  <si>
    <t>Actual CDD</t>
  </si>
  <si>
    <t>Actual HDD</t>
  </si>
  <si>
    <t>Predicted (BEopt 1.3) BOSTON</t>
  </si>
  <si>
    <t>BEopt 1.3 CDD</t>
  </si>
  <si>
    <t>BEopt 1.3 HDD</t>
  </si>
  <si>
    <t>Actual site energy</t>
  </si>
  <si>
    <t>Electricity</t>
  </si>
  <si>
    <t>Natural Gas</t>
  </si>
  <si>
    <t>MMBtu</t>
  </si>
  <si>
    <t>Normalized</t>
  </si>
  <si>
    <t>Nat Gas</t>
  </si>
  <si>
    <t>Site</t>
  </si>
  <si>
    <t>Source</t>
  </si>
  <si>
    <t>Could not get 2009-09-01 from degreedays for Boston, so used MILTON from that date instead (found in old file for Hall)</t>
  </si>
  <si>
    <t>WEATHER NORMALIZATION FOR SEP 2009 THRU OCT 2010 -- WEATHER DATA FROM DEGREEDAYS IS ONLY AVAILABLE FOR 3 YEARS -- HAD TO ESTIMATE SEP 2009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</si>
  <si>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</si>
  <si>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</si>
  <si>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</si>
  <si>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</si>
  <si>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</si>
  <si>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</si>
  <si>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</si>
  <si>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</si>
  <si>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</si>
  <si>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</si>
  <si>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</si>
  <si>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</si>
  <si>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Normalize</t>
  </si>
  <si>
    <t>6 mo MMBtu</t>
  </si>
  <si>
    <t>Projected 12 month using normalized gas but duplicated electricity</t>
  </si>
  <si>
    <t>6 mo</t>
  </si>
</sst>
</file>

<file path=xl/styles.xml><?xml version="1.0" encoding="utf-8"?>
<styleSheet xmlns="http://schemas.openxmlformats.org/spreadsheetml/2006/main">
  <numFmts count="1">
    <numFmt numFmtId="164" formatCode="&quot;$&quot;#,##0.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17" fontId="0" fillId="0" borderId="0" xfId="0" applyNumberFormat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18" fillId="33" borderId="10" xfId="42" applyNumberFormat="1" applyFont="1" applyFill="1" applyBorder="1" applyAlignment="1">
      <alignment wrapText="1"/>
    </xf>
    <xf numFmtId="49" fontId="18" fillId="33" borderId="10" xfId="42" applyNumberFormat="1" applyFont="1" applyFill="1" applyBorder="1" applyAlignment="1">
      <alignment wrapText="1"/>
    </xf>
    <xf numFmtId="0" fontId="18" fillId="0" borderId="0" xfId="42" applyNumberFormat="1" applyFont="1" applyFill="1" applyBorder="1" applyAlignment="1">
      <alignment wrapText="1"/>
    </xf>
    <xf numFmtId="2" fontId="0" fillId="0" borderId="0" xfId="0" applyNumberFormat="1" applyFill="1" applyBorder="1"/>
    <xf numFmtId="1" fontId="0" fillId="0" borderId="0" xfId="0" applyNumberFormat="1"/>
    <xf numFmtId="0" fontId="0" fillId="0" borderId="0" xfId="0" applyBorder="1"/>
    <xf numFmtId="17" fontId="0" fillId="0" borderId="11" xfId="0" applyNumberFormat="1" applyFill="1" applyBorder="1"/>
    <xf numFmtId="0" fontId="0" fillId="0" borderId="12" xfId="0" applyFill="1" applyBorder="1"/>
    <xf numFmtId="17" fontId="0" fillId="0" borderId="13" xfId="0" applyNumberFormat="1" applyFill="1" applyBorder="1"/>
    <xf numFmtId="0" fontId="0" fillId="0" borderId="14" xfId="0" applyFill="1" applyBorder="1"/>
    <xf numFmtId="17" fontId="0" fillId="0" borderId="15" xfId="0" applyNumberFormat="1" applyFill="1" applyBorder="1"/>
    <xf numFmtId="0" fontId="0" fillId="0" borderId="16" xfId="0" applyFill="1" applyBorder="1"/>
    <xf numFmtId="2" fontId="0" fillId="0" borderId="0" xfId="0" applyNumberFormat="1" applyFill="1"/>
    <xf numFmtId="17" fontId="0" fillId="0" borderId="11" xfId="0" applyNumberFormat="1" applyBorder="1"/>
    <xf numFmtId="0" fontId="0" fillId="0" borderId="12" xfId="0" applyBorder="1"/>
    <xf numFmtId="17" fontId="0" fillId="0" borderId="13" xfId="0" applyNumberFormat="1" applyBorder="1"/>
    <xf numFmtId="0" fontId="0" fillId="0" borderId="14" xfId="0" applyBorder="1"/>
    <xf numFmtId="17" fontId="0" fillId="0" borderId="15" xfId="0" applyNumberFormat="1" applyBorder="1"/>
    <xf numFmtId="0" fontId="0" fillId="0" borderId="16" xfId="0" applyBorder="1"/>
    <xf numFmtId="2" fontId="0" fillId="0" borderId="11" xfId="0" applyNumberFormat="1" applyBorder="1"/>
    <xf numFmtId="2" fontId="0" fillId="0" borderId="17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0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8" xfId="0" applyNumberFormat="1" applyBorder="1"/>
    <xf numFmtId="2" fontId="0" fillId="0" borderId="16" xfId="0" applyNumberFormat="1" applyBorder="1"/>
    <xf numFmtId="0" fontId="0" fillId="0" borderId="17" xfId="0" applyBorder="1"/>
    <xf numFmtId="0" fontId="0" fillId="0" borderId="13" xfId="0" applyBorder="1"/>
    <xf numFmtId="4" fontId="0" fillId="0" borderId="0" xfId="0" applyNumberFormat="1" applyBorder="1"/>
    <xf numFmtId="0" fontId="0" fillId="0" borderId="13" xfId="0" applyFill="1" applyBorder="1"/>
    <xf numFmtId="2" fontId="0" fillId="0" borderId="14" xfId="0" applyNumberFormat="1" applyFill="1" applyBorder="1"/>
    <xf numFmtId="0" fontId="0" fillId="0" borderId="15" xfId="0" applyBorder="1"/>
    <xf numFmtId="0" fontId="0" fillId="0" borderId="18" xfId="0" applyBorder="1"/>
    <xf numFmtId="14" fontId="22" fillId="0" borderId="19" xfId="0" applyNumberFormat="1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2" fontId="18" fillId="0" borderId="0" xfId="42" applyNumberFormat="1" applyFont="1" applyFill="1" applyBorder="1" applyAlignment="1">
      <alignment wrapText="1"/>
    </xf>
    <xf numFmtId="2" fontId="18" fillId="0" borderId="20" xfId="42" applyNumberFormat="1" applyFont="1" applyFill="1" applyBorder="1" applyAlignment="1">
      <alignment wrapText="1"/>
    </xf>
    <xf numFmtId="2" fontId="18" fillId="0" borderId="0" xfId="42" applyNumberFormat="1" applyFont="1" applyFill="1" applyBorder="1" applyAlignment="1"/>
    <xf numFmtId="2" fontId="18" fillId="0" borderId="21" xfId="42" applyNumberFormat="1" applyFont="1" applyFill="1" applyBorder="1" applyAlignment="1">
      <alignment wrapText="1"/>
    </xf>
    <xf numFmtId="2" fontId="18" fillId="0" borderId="22" xfId="42" applyNumberFormat="1" applyFont="1" applyFill="1" applyBorder="1" applyAlignment="1">
      <alignment wrapText="1"/>
    </xf>
    <xf numFmtId="2" fontId="0" fillId="0" borderId="22" xfId="0" applyNumberFormat="1" applyBorder="1"/>
    <xf numFmtId="0" fontId="0" fillId="0" borderId="22" xfId="0" applyBorder="1"/>
    <xf numFmtId="2" fontId="0" fillId="0" borderId="23" xfId="0" applyNumberFormat="1" applyBorder="1"/>
    <xf numFmtId="164" fontId="18" fillId="0" borderId="0" xfId="42" applyNumberFormat="1" applyFill="1" applyAlignment="1">
      <alignment horizontal="right"/>
    </xf>
    <xf numFmtId="164" fontId="23" fillId="0" borderId="18" xfId="42" applyNumberFormat="1" applyFont="1" applyFill="1" applyBorder="1" applyAlignment="1">
      <alignment horizontal="center" wrapText="1"/>
    </xf>
    <xf numFmtId="164" fontId="23" fillId="0" borderId="18" xfId="42" applyNumberFormat="1" applyFont="1" applyFill="1" applyBorder="1" applyAlignment="1">
      <alignment horizontal="right" wrapText="1"/>
    </xf>
    <xf numFmtId="0" fontId="18" fillId="0" borderId="0" xfId="42" applyNumberFormat="1" applyFill="1" applyAlignment="1"/>
    <xf numFmtId="0" fontId="24" fillId="0" borderId="0" xfId="0" applyFont="1"/>
    <xf numFmtId="0" fontId="18" fillId="0" borderId="18" xfId="42" applyNumberFormat="1" applyBorder="1" applyAlignment="1"/>
    <xf numFmtId="0" fontId="24" fillId="0" borderId="18" xfId="0" applyFont="1" applyBorder="1"/>
    <xf numFmtId="0" fontId="24" fillId="0" borderId="0" xfId="0" applyFont="1" applyBorder="1"/>
    <xf numFmtId="0" fontId="18" fillId="0" borderId="0" xfId="42" applyNumberFormat="1" applyBorder="1" applyAlignment="1"/>
    <xf numFmtId="0" fontId="18" fillId="0" borderId="0" xfId="42" applyNumberFormat="1" applyAlignment="1"/>
    <xf numFmtId="1" fontId="25" fillId="0" borderId="0" xfId="0" applyNumberFormat="1" applyFont="1"/>
    <xf numFmtId="10" fontId="0" fillId="0" borderId="0" xfId="0" applyNumberFormat="1"/>
    <xf numFmtId="2" fontId="25" fillId="34" borderId="0" xfId="0" applyNumberFormat="1" applyFont="1" applyFill="1" applyBorder="1"/>
    <xf numFmtId="2" fontId="25" fillId="34" borderId="18" xfId="0" applyNumberFormat="1" applyFont="1" applyFill="1" applyBorder="1"/>
    <xf numFmtId="164" fontId="23" fillId="0" borderId="0" xfId="42" applyNumberFormat="1" applyFont="1" applyFill="1" applyBorder="1" applyAlignment="1">
      <alignment horizontal="center" wrapText="1"/>
    </xf>
    <xf numFmtId="0" fontId="0" fillId="0" borderId="21" xfId="0" applyBorder="1"/>
    <xf numFmtId="2" fontId="25" fillId="34" borderId="20" xfId="0" applyNumberFormat="1" applyFont="1" applyFill="1" applyBorder="1"/>
    <xf numFmtId="2" fontId="25" fillId="34" borderId="24" xfId="0" applyNumberFormat="1" applyFont="1" applyFill="1" applyBorder="1"/>
    <xf numFmtId="2" fontId="25" fillId="34" borderId="25" xfId="0" applyNumberFormat="1" applyFont="1" applyFill="1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3" fontId="18" fillId="0" borderId="0" xfId="42" applyNumberFormat="1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MMBtu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'Pre-Retrofit'!$P$44:$P$55</c:f>
              <c:numCache>
                <c:formatCode>General</c:formatCode>
                <c:ptCount val="12"/>
                <c:pt idx="0">
                  <c:v>158</c:v>
                </c:pt>
                <c:pt idx="1">
                  <c:v>412</c:v>
                </c:pt>
                <c:pt idx="2">
                  <c:v>485</c:v>
                </c:pt>
                <c:pt idx="3">
                  <c:v>988</c:v>
                </c:pt>
                <c:pt idx="4">
                  <c:v>1096</c:v>
                </c:pt>
                <c:pt idx="5">
                  <c:v>901</c:v>
                </c:pt>
                <c:pt idx="6">
                  <c:v>658</c:v>
                </c:pt>
                <c:pt idx="7">
                  <c:v>385</c:v>
                </c:pt>
                <c:pt idx="8">
                  <c:v>172</c:v>
                </c:pt>
                <c:pt idx="9">
                  <c:v>42</c:v>
                </c:pt>
                <c:pt idx="10">
                  <c:v>3</c:v>
                </c:pt>
                <c:pt idx="11">
                  <c:v>10</c:v>
                </c:pt>
              </c:numCache>
            </c:numRef>
          </c:xVal>
          <c:yVal>
            <c:numRef>
              <c:f>'Pre-Retrofit'!$D$44:$D$55</c:f>
              <c:numCache>
                <c:formatCode>0.00</c:formatCode>
                <c:ptCount val="12"/>
                <c:pt idx="0">
                  <c:v>1.5</c:v>
                </c:pt>
                <c:pt idx="1">
                  <c:v>4.5</c:v>
                </c:pt>
                <c:pt idx="2">
                  <c:v>5.4</c:v>
                </c:pt>
                <c:pt idx="3">
                  <c:v>10.8</c:v>
                </c:pt>
                <c:pt idx="4">
                  <c:v>17.3</c:v>
                </c:pt>
                <c:pt idx="5">
                  <c:v>14.3</c:v>
                </c:pt>
                <c:pt idx="6">
                  <c:v>9.7000000000000011</c:v>
                </c:pt>
                <c:pt idx="7">
                  <c:v>6.2</c:v>
                </c:pt>
                <c:pt idx="8">
                  <c:v>3.1</c:v>
                </c:pt>
                <c:pt idx="9">
                  <c:v>1.6</c:v>
                </c:pt>
                <c:pt idx="10">
                  <c:v>1.5</c:v>
                </c:pt>
                <c:pt idx="11">
                  <c:v>1.4000000000000001</c:v>
                </c:pt>
              </c:numCache>
            </c:numRef>
          </c:yVal>
        </c:ser>
        <c:axId val="65124992"/>
        <c:axId val="65128320"/>
      </c:scatterChart>
      <c:valAx>
        <c:axId val="65124992"/>
        <c:scaling>
          <c:orientation val="minMax"/>
        </c:scaling>
        <c:axPos val="b"/>
        <c:numFmt formatCode="General" sourceLinked="1"/>
        <c:tickLblPos val="nextTo"/>
        <c:crossAx val="65128320"/>
        <c:crosses val="autoZero"/>
        <c:crossBetween val="midCat"/>
      </c:valAx>
      <c:valAx>
        <c:axId val="65128320"/>
        <c:scaling>
          <c:orientation val="minMax"/>
        </c:scaling>
        <c:axPos val="l"/>
        <c:majorGridlines/>
        <c:numFmt formatCode="0.00" sourceLinked="1"/>
        <c:tickLblPos val="nextTo"/>
        <c:crossAx val="651249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Brookline Single</a:t>
            </a:r>
            <a:r>
              <a:rPr lang="en-US" baseline="0"/>
              <a:t> Family Natural Gas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73"/>
          <c:w val="0.7019946305338981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Gas!$C$5</c:f>
              <c:strCache>
                <c:ptCount val="1"/>
                <c:pt idx="0">
                  <c:v>therms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Gas!$A$11:$A$30</c:f>
              <c:numCache>
                <c:formatCode>mmm-yy</c:formatCode>
                <c:ptCount val="20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</c:numCache>
            </c:numRef>
          </c:cat>
          <c:val>
            <c:numRef>
              <c:f>Gas!$C$11:$C$30</c:f>
              <c:numCache>
                <c:formatCode>General</c:formatCode>
                <c:ptCount val="20"/>
                <c:pt idx="0">
                  <c:v>113</c:v>
                </c:pt>
                <c:pt idx="1">
                  <c:v>175</c:v>
                </c:pt>
                <c:pt idx="2">
                  <c:v>148</c:v>
                </c:pt>
                <c:pt idx="3">
                  <c:v>122</c:v>
                </c:pt>
                <c:pt idx="4">
                  <c:v>96</c:v>
                </c:pt>
                <c:pt idx="5">
                  <c:v>34</c:v>
                </c:pt>
                <c:pt idx="6">
                  <c:v>18</c:v>
                </c:pt>
                <c:pt idx="7">
                  <c:v>15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  <c:pt idx="11">
                  <c:v>41</c:v>
                </c:pt>
                <c:pt idx="12">
                  <c:v>49</c:v>
                </c:pt>
                <c:pt idx="13">
                  <c:v>77</c:v>
                </c:pt>
                <c:pt idx="14">
                  <c:v>68</c:v>
                </c:pt>
                <c:pt idx="15">
                  <c:v>59</c:v>
                </c:pt>
                <c:pt idx="16">
                  <c:v>40</c:v>
                </c:pt>
                <c:pt idx="17">
                  <c:v>21</c:v>
                </c:pt>
                <c:pt idx="18">
                  <c:v>17</c:v>
                </c:pt>
                <c:pt idx="19">
                  <c:v>14</c:v>
                </c:pt>
              </c:numCache>
            </c:numRef>
          </c:val>
        </c:ser>
        <c:axId val="65170432"/>
        <c:axId val="65184896"/>
      </c:barChart>
      <c:lineChart>
        <c:grouping val="standard"/>
        <c:ser>
          <c:idx val="1"/>
          <c:order val="1"/>
          <c:tx>
            <c:strRef>
              <c:f>Gas!$D$5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Gas!$A$11:$A$17</c:f>
              <c:numCache>
                <c:formatCode>mmm-yy</c:formatCode>
                <c:ptCount val="7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</c:numCache>
            </c:numRef>
          </c:cat>
          <c:val>
            <c:numRef>
              <c:f>Gas!$D$11:$D$30</c:f>
              <c:numCache>
                <c:formatCode>General</c:formatCode>
                <c:ptCount val="20"/>
                <c:pt idx="0">
                  <c:v>1010</c:v>
                </c:pt>
                <c:pt idx="1">
                  <c:v>1154</c:v>
                </c:pt>
                <c:pt idx="2">
                  <c:v>964</c:v>
                </c:pt>
                <c:pt idx="3">
                  <c:v>813</c:v>
                </c:pt>
                <c:pt idx="4">
                  <c:v>468</c:v>
                </c:pt>
                <c:pt idx="5">
                  <c:v>255</c:v>
                </c:pt>
                <c:pt idx="6">
                  <c:v>75</c:v>
                </c:pt>
                <c:pt idx="7">
                  <c:v>0</c:v>
                </c:pt>
                <c:pt idx="8">
                  <c:v>2</c:v>
                </c:pt>
                <c:pt idx="9">
                  <c:v>57</c:v>
                </c:pt>
                <c:pt idx="10">
                  <c:v>267</c:v>
                </c:pt>
                <c:pt idx="11">
                  <c:v>449</c:v>
                </c:pt>
                <c:pt idx="12">
                  <c:v>764</c:v>
                </c:pt>
                <c:pt idx="13">
                  <c:v>959</c:v>
                </c:pt>
                <c:pt idx="14">
                  <c:v>801</c:v>
                </c:pt>
                <c:pt idx="15">
                  <c:v>608</c:v>
                </c:pt>
                <c:pt idx="16">
                  <c:v>398</c:v>
                </c:pt>
                <c:pt idx="17">
                  <c:v>204</c:v>
                </c:pt>
                <c:pt idx="18">
                  <c:v>94</c:v>
                </c:pt>
                <c:pt idx="19">
                  <c:v>2</c:v>
                </c:pt>
              </c:numCache>
            </c:numRef>
          </c:val>
        </c:ser>
        <c:marker val="1"/>
        <c:axId val="65201280"/>
        <c:axId val="65186816"/>
      </c:lineChart>
      <c:dateAx>
        <c:axId val="65170432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65184896"/>
        <c:crosses val="autoZero"/>
        <c:auto val="1"/>
        <c:lblOffset val="100"/>
        <c:baseTimeUnit val="months"/>
      </c:dateAx>
      <c:valAx>
        <c:axId val="65184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Therms/month</a:t>
                </a:r>
              </a:p>
            </c:rich>
          </c:tx>
        </c:title>
        <c:numFmt formatCode="General" sourceLinked="1"/>
        <c:tickLblPos val="nextTo"/>
        <c:crossAx val="65170432"/>
        <c:crosses val="autoZero"/>
        <c:crossBetween val="between"/>
      </c:valAx>
      <c:valAx>
        <c:axId val="6518681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65201280"/>
        <c:crosses val="max"/>
        <c:crossBetween val="between"/>
      </c:valAx>
      <c:dateAx>
        <c:axId val="65201280"/>
        <c:scaling>
          <c:orientation val="minMax"/>
        </c:scaling>
        <c:delete val="1"/>
        <c:axPos val="b"/>
        <c:numFmt formatCode="mmm-yy" sourceLinked="1"/>
        <c:tickLblPos val="none"/>
        <c:crossAx val="6518681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094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Brookline Single</a:t>
            </a:r>
            <a:r>
              <a:rPr lang="en-US" sz="1200" baseline="0"/>
              <a:t> 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456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Elec!$A$14:$A$32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Elec!$D$14:$D$32</c:f>
              <c:numCache>
                <c:formatCode>0</c:formatCode>
                <c:ptCount val="19"/>
                <c:pt idx="0">
                  <c:v>342</c:v>
                </c:pt>
                <c:pt idx="1">
                  <c:v>303</c:v>
                </c:pt>
                <c:pt idx="2">
                  <c:v>295</c:v>
                </c:pt>
                <c:pt idx="3">
                  <c:v>301</c:v>
                </c:pt>
                <c:pt idx="4">
                  <c:v>334</c:v>
                </c:pt>
                <c:pt idx="5">
                  <c:v>315</c:v>
                </c:pt>
                <c:pt idx="6">
                  <c:v>276</c:v>
                </c:pt>
                <c:pt idx="7">
                  <c:v>320</c:v>
                </c:pt>
                <c:pt idx="8">
                  <c:v>344</c:v>
                </c:pt>
                <c:pt idx="9">
                  <c:v>430</c:v>
                </c:pt>
                <c:pt idx="10">
                  <c:v>407</c:v>
                </c:pt>
                <c:pt idx="11">
                  <c:v>359</c:v>
                </c:pt>
                <c:pt idx="12">
                  <c:v>321</c:v>
                </c:pt>
                <c:pt idx="13">
                  <c:v>340</c:v>
                </c:pt>
                <c:pt idx="14">
                  <c:v>266</c:v>
                </c:pt>
                <c:pt idx="15">
                  <c:v>255</c:v>
                </c:pt>
                <c:pt idx="16">
                  <c:v>307</c:v>
                </c:pt>
                <c:pt idx="17">
                  <c:v>315</c:v>
                </c:pt>
                <c:pt idx="18">
                  <c:v>315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Elec!$A$14:$A$32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Elec!$E$14:$E$32</c:f>
              <c:numCache>
                <c:formatCode>General</c:formatCode>
                <c:ptCount val="19"/>
              </c:numCache>
            </c:numRef>
          </c:val>
        </c:ser>
        <c:gapWidth val="202"/>
        <c:overlap val="100"/>
        <c:axId val="65374848"/>
        <c:axId val="72257920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Elec!$A$14:$A$19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Elec!$F$14:$F$32</c:f>
              <c:numCache>
                <c:formatCode>General</c:formatCode>
                <c:ptCount val="19"/>
                <c:pt idx="0">
                  <c:v>1154</c:v>
                </c:pt>
                <c:pt idx="1">
                  <c:v>964</c:v>
                </c:pt>
                <c:pt idx="2">
                  <c:v>813</c:v>
                </c:pt>
                <c:pt idx="3">
                  <c:v>468</c:v>
                </c:pt>
                <c:pt idx="4">
                  <c:v>255</c:v>
                </c:pt>
                <c:pt idx="5">
                  <c:v>75</c:v>
                </c:pt>
                <c:pt idx="6">
                  <c:v>0</c:v>
                </c:pt>
                <c:pt idx="7">
                  <c:v>2</c:v>
                </c:pt>
                <c:pt idx="8">
                  <c:v>57</c:v>
                </c:pt>
                <c:pt idx="9">
                  <c:v>267</c:v>
                </c:pt>
                <c:pt idx="10">
                  <c:v>449</c:v>
                </c:pt>
                <c:pt idx="11">
                  <c:v>764</c:v>
                </c:pt>
                <c:pt idx="12">
                  <c:v>959</c:v>
                </c:pt>
                <c:pt idx="13">
                  <c:v>801</c:v>
                </c:pt>
                <c:pt idx="14">
                  <c:v>608</c:v>
                </c:pt>
                <c:pt idx="15">
                  <c:v>398</c:v>
                </c:pt>
                <c:pt idx="16">
                  <c:v>204</c:v>
                </c:pt>
                <c:pt idx="17">
                  <c:v>94</c:v>
                </c:pt>
                <c:pt idx="18">
                  <c:v>2</c:v>
                </c:pt>
              </c:numCache>
            </c:numRef>
          </c:val>
        </c:ser>
        <c:marker val="1"/>
        <c:axId val="65374848"/>
        <c:axId val="72257920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Elec!$A$14:$A$19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Elec!$G$14:$G$32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50</c:v>
                </c:pt>
                <c:pt idx="5">
                  <c:v>130</c:v>
                </c:pt>
                <c:pt idx="6">
                  <c:v>374</c:v>
                </c:pt>
                <c:pt idx="7">
                  <c:v>260</c:v>
                </c:pt>
                <c:pt idx="8">
                  <c:v>115</c:v>
                </c:pt>
                <c:pt idx="9">
                  <c:v>29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</c:v>
                </c:pt>
                <c:pt idx="15">
                  <c:v>25</c:v>
                </c:pt>
                <c:pt idx="16">
                  <c:v>42</c:v>
                </c:pt>
                <c:pt idx="17">
                  <c:v>142</c:v>
                </c:pt>
                <c:pt idx="18">
                  <c:v>304</c:v>
                </c:pt>
              </c:numCache>
            </c:numRef>
          </c:val>
        </c:ser>
        <c:marker val="1"/>
        <c:axId val="73143808"/>
        <c:axId val="72260608"/>
      </c:lineChart>
      <c:dateAx>
        <c:axId val="65374848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72257920"/>
        <c:crosses val="autoZero"/>
        <c:auto val="1"/>
        <c:lblOffset val="100"/>
        <c:baseTimeUnit val="months"/>
      </c:dateAx>
      <c:valAx>
        <c:axId val="72257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0" sourceLinked="1"/>
        <c:tickLblPos val="nextTo"/>
        <c:crossAx val="65374848"/>
        <c:crosses val="autoZero"/>
        <c:crossBetween val="between"/>
        <c:majorUnit val="200"/>
      </c:valAx>
      <c:valAx>
        <c:axId val="72260608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73143808"/>
        <c:crosses val="max"/>
        <c:crossBetween val="between"/>
        <c:majorUnit val="20"/>
      </c:valAx>
      <c:dateAx>
        <c:axId val="73143808"/>
        <c:scaling>
          <c:orientation val="minMax"/>
        </c:scaling>
        <c:delete val="1"/>
        <c:axPos val="b"/>
        <c:numFmt formatCode="mmm-yy" sourceLinked="1"/>
        <c:tickLblPos val="none"/>
        <c:crossAx val="7226060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55"/>
          <c:y val="0.8239977897499593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43285214348206"/>
          <c:y val="5.5914625255176521E-2"/>
          <c:w val="0.76077690288713962"/>
          <c:h val="0.74940179352581004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Use'!$J$26:$J$31</c:f>
              <c:numCache>
                <c:formatCode>mmm-yy</c:formatCode>
                <c:ptCount val="6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</c:numCache>
            </c:numRef>
          </c:cat>
          <c:val>
            <c:numRef>
              <c:f>'Energy Use'!$AA$26:$AA$31</c:f>
              <c:numCache>
                <c:formatCode>0.00</c:formatCode>
                <c:ptCount val="6"/>
                <c:pt idx="0">
                  <c:v>10.995402799999999</c:v>
                </c:pt>
                <c:pt idx="1">
                  <c:v>9.2095457199999995</c:v>
                </c:pt>
                <c:pt idx="2">
                  <c:v>7.0948520999999989</c:v>
                </c:pt>
                <c:pt idx="3">
                  <c:v>5.6983219399999996</c:v>
                </c:pt>
                <c:pt idx="4">
                  <c:v>5.370717299999999</c:v>
                </c:pt>
                <c:pt idx="5">
                  <c:v>5.0566172999999992</c:v>
                </c:pt>
              </c:numCache>
            </c:numRef>
          </c:val>
        </c:ser>
        <c:axId val="91079424"/>
        <c:axId val="91769088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HDD!$B$37:$B$42</c:f>
              <c:numCache>
                <c:formatCode>General</c:formatCode>
                <c:ptCount val="6"/>
                <c:pt idx="0">
                  <c:v>801</c:v>
                </c:pt>
                <c:pt idx="1">
                  <c:v>608</c:v>
                </c:pt>
                <c:pt idx="2">
                  <c:v>398</c:v>
                </c:pt>
                <c:pt idx="3">
                  <c:v>204</c:v>
                </c:pt>
                <c:pt idx="4">
                  <c:v>94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CDD!$B$28:$B$33</c:f>
              <c:numCache>
                <c:formatCode>General</c:formatCode>
                <c:ptCount val="6"/>
                <c:pt idx="0">
                  <c:v>0</c:v>
                </c:pt>
                <c:pt idx="1">
                  <c:v>18</c:v>
                </c:pt>
                <c:pt idx="2">
                  <c:v>25</c:v>
                </c:pt>
                <c:pt idx="3">
                  <c:v>42</c:v>
                </c:pt>
                <c:pt idx="4">
                  <c:v>142</c:v>
                </c:pt>
                <c:pt idx="5">
                  <c:v>304</c:v>
                </c:pt>
              </c:numCache>
            </c:numRef>
          </c:val>
        </c:ser>
        <c:marker val="1"/>
        <c:axId val="91858816"/>
        <c:axId val="91856896"/>
      </c:lineChart>
      <c:dateAx>
        <c:axId val="91079424"/>
        <c:scaling>
          <c:orientation val="minMax"/>
        </c:scaling>
        <c:axPos val="b"/>
        <c:numFmt formatCode="mmm-yy" sourceLinked="1"/>
        <c:tickLblPos val="nextTo"/>
        <c:crossAx val="91769088"/>
        <c:crosses val="autoZero"/>
        <c:auto val="1"/>
        <c:lblOffset val="100"/>
      </c:dateAx>
      <c:valAx>
        <c:axId val="91769088"/>
        <c:scaling>
          <c:orientation val="minMax"/>
        </c:scaling>
        <c:axPos val="l"/>
        <c:majorGridlines/>
        <c:numFmt formatCode="0" sourceLinked="0"/>
        <c:tickLblPos val="nextTo"/>
        <c:crossAx val="91079424"/>
        <c:crosses val="autoZero"/>
        <c:crossBetween val="between"/>
      </c:valAx>
      <c:valAx>
        <c:axId val="91856896"/>
        <c:scaling>
          <c:orientation val="minMax"/>
        </c:scaling>
        <c:axPos val="r"/>
        <c:numFmt formatCode="General" sourceLinked="1"/>
        <c:tickLblPos val="nextTo"/>
        <c:crossAx val="91858816"/>
        <c:crosses val="max"/>
        <c:crossBetween val="between"/>
        <c:majorUnit val="200"/>
      </c:valAx>
      <c:catAx>
        <c:axId val="91858816"/>
        <c:scaling>
          <c:orientation val="minMax"/>
        </c:scaling>
        <c:delete val="1"/>
        <c:axPos val="b"/>
        <c:tickLblPos val="none"/>
        <c:crossAx val="9185689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'Weather Lin Regr Analysis'!$G$15:$G$20</c:f>
              <c:numCache>
                <c:formatCode>General</c:formatCode>
                <c:ptCount val="6"/>
                <c:pt idx="0">
                  <c:v>801</c:v>
                </c:pt>
                <c:pt idx="1">
                  <c:v>608</c:v>
                </c:pt>
                <c:pt idx="2">
                  <c:v>398</c:v>
                </c:pt>
                <c:pt idx="3">
                  <c:v>204</c:v>
                </c:pt>
                <c:pt idx="4">
                  <c:v>94</c:v>
                </c:pt>
                <c:pt idx="5">
                  <c:v>2</c:v>
                </c:pt>
              </c:numCache>
            </c:numRef>
          </c:xVal>
          <c:yVal>
            <c:numRef>
              <c:f>'Weather Lin Regr Analysis'!$E$15:$E$20</c:f>
              <c:numCache>
                <c:formatCode>0.00</c:formatCode>
                <c:ptCount val="6"/>
                <c:pt idx="0">
                  <c:v>6.8000000000000007</c:v>
                </c:pt>
                <c:pt idx="1">
                  <c:v>5.9</c:v>
                </c:pt>
                <c:pt idx="2">
                  <c:v>4</c:v>
                </c:pt>
                <c:pt idx="3">
                  <c:v>2.1</c:v>
                </c:pt>
                <c:pt idx="4">
                  <c:v>1.7000000000000002</c:v>
                </c:pt>
                <c:pt idx="5">
                  <c:v>1.4000000000000001</c:v>
                </c:pt>
              </c:numCache>
            </c:numRef>
          </c:yVal>
        </c:ser>
        <c:axId val="95316992"/>
        <c:axId val="95524352"/>
      </c:scatterChart>
      <c:valAx>
        <c:axId val="95316992"/>
        <c:scaling>
          <c:orientation val="minMax"/>
        </c:scaling>
        <c:axPos val="b"/>
        <c:numFmt formatCode="General" sourceLinked="1"/>
        <c:tickLblPos val="nextTo"/>
        <c:crossAx val="95524352"/>
        <c:crosses val="autoZero"/>
        <c:crossBetween val="midCat"/>
      </c:valAx>
      <c:valAx>
        <c:axId val="95524352"/>
        <c:scaling>
          <c:orientation val="minMax"/>
        </c:scaling>
        <c:axPos val="l"/>
        <c:majorGridlines/>
        <c:numFmt formatCode="0.00" sourceLinked="1"/>
        <c:tickLblPos val="nextTo"/>
        <c:crossAx val="953169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61</xdr:row>
      <xdr:rowOff>152400</xdr:rowOff>
    </xdr:from>
    <xdr:to>
      <xdr:col>16</xdr:col>
      <xdr:colOff>323850</xdr:colOff>
      <xdr:row>76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26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29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39</xdr:row>
      <xdr:rowOff>76200</xdr:rowOff>
    </xdr:from>
    <xdr:to>
      <xdr:col>18</xdr:col>
      <xdr:colOff>600075</xdr:colOff>
      <xdr:row>53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1.09361E-6</cdr:x>
      <cdr:y>0</cdr:y>
    </cdr:from>
    <cdr:to>
      <cdr:x>0.06458</cdr:x>
      <cdr:y>0.76389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00108" y="900113"/>
          <a:ext cx="2095500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 (monthly)</a:t>
          </a:r>
        </a:p>
      </cdr:txBody>
    </cdr:sp>
  </cdr:relSizeAnchor>
  <cdr:relSizeAnchor xmlns:cdr="http://schemas.openxmlformats.org/drawingml/2006/chartDrawing">
    <cdr:from>
      <cdr:x>0.94375</cdr:x>
      <cdr:y>0</cdr:y>
    </cdr:from>
    <cdr:to>
      <cdr:x>0.99583</cdr:x>
      <cdr:y>0.54167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690937" y="623887"/>
          <a:ext cx="14859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161925</xdr:rowOff>
    </xdr:from>
    <xdr:to>
      <xdr:col>11</xdr:col>
      <xdr:colOff>314325</xdr:colOff>
      <xdr:row>37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79"/>
  <sheetViews>
    <sheetView topLeftCell="A35" workbookViewId="0">
      <selection activeCell="O57" sqref="O57"/>
    </sheetView>
  </sheetViews>
  <sheetFormatPr defaultRowHeight="15"/>
  <cols>
    <col min="1" max="18" width="9.140625" style="11"/>
    <col min="19" max="19" width="9.5703125" style="11" bestFit="1" customWidth="1"/>
    <col min="20" max="20" width="11" style="11" customWidth="1"/>
    <col min="21" max="16384" width="9.140625" style="11"/>
  </cols>
  <sheetData>
    <row r="2" spans="1:15">
      <c r="B2" s="11" t="s">
        <v>44</v>
      </c>
      <c r="E2" s="13"/>
    </row>
    <row r="3" spans="1:15">
      <c r="B3" s="11" t="s">
        <v>36</v>
      </c>
    </row>
    <row r="5" spans="1:15">
      <c r="B5" s="11" t="s">
        <v>51</v>
      </c>
      <c r="J5" s="82"/>
      <c r="K5" s="82"/>
    </row>
    <row r="7" spans="1:15">
      <c r="A7" s="11" t="s">
        <v>43</v>
      </c>
      <c r="B7" s="11" t="s">
        <v>42</v>
      </c>
      <c r="C7" s="11" t="s">
        <v>45</v>
      </c>
      <c r="I7" s="11" t="s">
        <v>46</v>
      </c>
      <c r="J7" s="11" t="s">
        <v>47</v>
      </c>
      <c r="K7" s="11" t="s">
        <v>48</v>
      </c>
    </row>
    <row r="9" spans="1:15">
      <c r="A9" s="30">
        <v>39891</v>
      </c>
      <c r="B9" s="31">
        <v>182</v>
      </c>
      <c r="C9" s="16"/>
      <c r="D9" s="1"/>
      <c r="E9" s="16"/>
      <c r="I9" s="23">
        <v>39878</v>
      </c>
      <c r="J9" s="24">
        <v>258</v>
      </c>
      <c r="L9" s="16"/>
      <c r="M9" s="1"/>
    </row>
    <row r="10" spans="1:15">
      <c r="A10" s="32">
        <v>39920</v>
      </c>
      <c r="B10" s="33">
        <v>94</v>
      </c>
      <c r="C10" s="16"/>
      <c r="D10" s="1"/>
      <c r="E10" s="16"/>
      <c r="I10" s="25">
        <v>39909</v>
      </c>
      <c r="J10" s="26">
        <v>274</v>
      </c>
      <c r="L10" s="16"/>
      <c r="M10" s="1"/>
      <c r="O10" s="16"/>
    </row>
    <row r="11" spans="1:15">
      <c r="A11" s="32">
        <v>39953</v>
      </c>
      <c r="B11" s="33">
        <v>36</v>
      </c>
      <c r="C11" s="16"/>
      <c r="D11" s="1"/>
      <c r="E11" s="16"/>
      <c r="I11" s="25">
        <v>39939</v>
      </c>
      <c r="J11" s="26">
        <v>231</v>
      </c>
      <c r="L11" s="16"/>
      <c r="M11" s="1"/>
      <c r="O11" s="16"/>
    </row>
    <row r="12" spans="1:15">
      <c r="A12" s="32">
        <v>39983</v>
      </c>
      <c r="B12" s="33">
        <v>20</v>
      </c>
      <c r="C12" s="16"/>
      <c r="D12" s="1"/>
      <c r="E12" s="16"/>
      <c r="I12" s="25">
        <v>39969</v>
      </c>
      <c r="J12" s="26">
        <v>196</v>
      </c>
      <c r="L12" s="16"/>
      <c r="M12" s="1"/>
      <c r="O12" s="16"/>
    </row>
    <row r="13" spans="1:15">
      <c r="A13" s="32">
        <v>40016</v>
      </c>
      <c r="B13" s="33">
        <v>15</v>
      </c>
      <c r="C13" s="16"/>
      <c r="D13" s="1"/>
      <c r="E13" s="16"/>
      <c r="I13" s="25">
        <v>40000</v>
      </c>
      <c r="J13" s="26">
        <v>206</v>
      </c>
      <c r="L13" s="16"/>
      <c r="M13" s="1"/>
      <c r="O13" s="16"/>
    </row>
    <row r="14" spans="1:15">
      <c r="A14" s="32">
        <v>40045</v>
      </c>
      <c r="B14" s="33">
        <v>11</v>
      </c>
      <c r="C14" s="16"/>
      <c r="D14" s="1"/>
      <c r="E14" s="16"/>
      <c r="I14" s="25">
        <v>40030</v>
      </c>
      <c r="J14" s="26">
        <v>183</v>
      </c>
      <c r="L14" s="16"/>
      <c r="M14" s="1"/>
      <c r="O14" s="16"/>
    </row>
    <row r="15" spans="1:15">
      <c r="A15" s="32">
        <v>40077</v>
      </c>
      <c r="B15" s="33">
        <v>15</v>
      </c>
      <c r="C15" s="16"/>
      <c r="D15" s="1"/>
      <c r="E15" s="16"/>
      <c r="I15" s="25">
        <v>40059</v>
      </c>
      <c r="J15" s="26">
        <v>180</v>
      </c>
      <c r="L15" s="16"/>
      <c r="M15" s="1"/>
      <c r="O15" s="16"/>
    </row>
    <row r="16" spans="1:15">
      <c r="A16" s="32">
        <v>40106</v>
      </c>
      <c r="B16" s="33">
        <v>45</v>
      </c>
      <c r="C16" s="16"/>
      <c r="D16" s="1"/>
      <c r="E16" s="16"/>
      <c r="I16" s="25">
        <v>40091</v>
      </c>
      <c r="J16" s="26">
        <v>266</v>
      </c>
      <c r="L16" s="16"/>
      <c r="M16" s="1"/>
      <c r="O16" s="16"/>
    </row>
    <row r="17" spans="1:24">
      <c r="A17" s="32">
        <v>40134</v>
      </c>
      <c r="B17" s="33">
        <v>54</v>
      </c>
      <c r="C17" s="16"/>
      <c r="D17" s="1"/>
      <c r="E17" s="16"/>
      <c r="I17" s="25">
        <v>40121</v>
      </c>
      <c r="J17" s="26">
        <v>273</v>
      </c>
      <c r="L17" s="16"/>
      <c r="M17" s="1"/>
      <c r="O17" s="16"/>
    </row>
    <row r="18" spans="1:24">
      <c r="A18" s="32">
        <v>40165</v>
      </c>
      <c r="B18" s="33">
        <v>108</v>
      </c>
      <c r="C18" s="16"/>
      <c r="D18" s="1"/>
      <c r="E18" s="16"/>
      <c r="I18" s="25">
        <v>40151</v>
      </c>
      <c r="J18" s="26">
        <v>320</v>
      </c>
      <c r="L18" s="16"/>
      <c r="M18" s="1"/>
      <c r="O18" s="16"/>
    </row>
    <row r="19" spans="1:24">
      <c r="A19" s="32">
        <v>40199</v>
      </c>
      <c r="B19" s="33">
        <v>173</v>
      </c>
      <c r="C19" s="16"/>
      <c r="D19" s="1"/>
      <c r="E19" s="16"/>
      <c r="I19" s="25">
        <v>40184</v>
      </c>
      <c r="J19" s="26">
        <v>347</v>
      </c>
      <c r="L19" s="16"/>
      <c r="M19" s="1"/>
      <c r="O19" s="16"/>
    </row>
    <row r="20" spans="1:24">
      <c r="A20" s="32">
        <v>40227</v>
      </c>
      <c r="B20" s="33">
        <v>143</v>
      </c>
      <c r="C20" s="16">
        <f>SUM(B9:B20)</f>
        <v>896</v>
      </c>
      <c r="D20" s="1" t="s">
        <v>50</v>
      </c>
      <c r="E20" s="16"/>
      <c r="I20" s="25">
        <v>40213</v>
      </c>
      <c r="J20" s="26">
        <v>327</v>
      </c>
      <c r="K20" s="11">
        <f>SUM(J9:J20)</f>
        <v>3061</v>
      </c>
      <c r="L20" s="16" t="s">
        <v>50</v>
      </c>
      <c r="M20" s="1"/>
      <c r="O20" s="16"/>
    </row>
    <row r="21" spans="1:24">
      <c r="A21" s="32">
        <v>40255</v>
      </c>
      <c r="B21" s="33">
        <v>97</v>
      </c>
      <c r="C21" s="16"/>
      <c r="D21" s="1"/>
      <c r="E21" s="16"/>
      <c r="F21" s="16"/>
      <c r="G21" s="16"/>
      <c r="I21" s="25">
        <v>40243</v>
      </c>
      <c r="J21" s="26">
        <v>297</v>
      </c>
      <c r="L21" s="16"/>
      <c r="M21" s="1"/>
      <c r="O21" s="16"/>
    </row>
    <row r="22" spans="1:24">
      <c r="A22" s="32">
        <v>40288</v>
      </c>
      <c r="B22" s="33">
        <v>62</v>
      </c>
      <c r="C22" s="16"/>
      <c r="D22" s="1"/>
      <c r="E22" s="16"/>
      <c r="I22" s="25">
        <v>40274</v>
      </c>
      <c r="J22" s="26">
        <v>264</v>
      </c>
      <c r="L22" s="16"/>
      <c r="M22" s="1"/>
      <c r="O22" s="16"/>
    </row>
    <row r="23" spans="1:24">
      <c r="A23" s="32">
        <v>40316</v>
      </c>
      <c r="B23" s="33">
        <v>31</v>
      </c>
      <c r="C23" s="16"/>
      <c r="D23" s="1"/>
      <c r="E23" s="16"/>
      <c r="I23" s="25">
        <v>40304</v>
      </c>
      <c r="J23" s="26">
        <v>222</v>
      </c>
      <c r="L23" s="16"/>
      <c r="M23" s="1"/>
      <c r="O23" s="16"/>
    </row>
    <row r="24" spans="1:24">
      <c r="A24" s="32">
        <v>40345</v>
      </c>
      <c r="B24" s="33">
        <v>16</v>
      </c>
      <c r="C24" s="16"/>
      <c r="D24" s="1"/>
      <c r="E24" s="16"/>
      <c r="I24" s="25">
        <v>40333</v>
      </c>
      <c r="J24" s="26">
        <v>217</v>
      </c>
      <c r="L24" s="16"/>
      <c r="M24" s="1"/>
      <c r="O24" s="16"/>
    </row>
    <row r="25" spans="1:24">
      <c r="A25" s="32">
        <v>40378</v>
      </c>
      <c r="B25" s="33">
        <v>15</v>
      </c>
      <c r="C25" s="16"/>
      <c r="D25" s="1"/>
      <c r="E25" s="16"/>
      <c r="I25" s="25">
        <v>40366</v>
      </c>
      <c r="J25" s="26">
        <v>286</v>
      </c>
      <c r="L25" s="16"/>
      <c r="M25" s="1"/>
      <c r="O25" s="16"/>
    </row>
    <row r="26" spans="1:24">
      <c r="A26" s="34">
        <v>40407</v>
      </c>
      <c r="B26" s="35">
        <v>14</v>
      </c>
      <c r="C26" s="16">
        <f>SUM(B15:B26)</f>
        <v>773</v>
      </c>
      <c r="D26" s="1" t="s">
        <v>49</v>
      </c>
      <c r="E26" s="16"/>
      <c r="I26" s="27">
        <v>40395</v>
      </c>
      <c r="J26" s="28">
        <v>285</v>
      </c>
      <c r="K26" s="11">
        <f>SUM(J15:J26)</f>
        <v>3284</v>
      </c>
      <c r="L26" s="16" t="s">
        <v>49</v>
      </c>
      <c r="M26" s="1"/>
      <c r="O26" s="16"/>
    </row>
    <row r="27" spans="1:24">
      <c r="A27" s="34"/>
      <c r="B27" s="26"/>
      <c r="C27" s="16"/>
      <c r="I27" s="1"/>
      <c r="L27" s="16"/>
      <c r="M27" s="1"/>
      <c r="O27" s="16"/>
    </row>
    <row r="28" spans="1:24">
      <c r="A28" s="1"/>
      <c r="E28" s="16"/>
      <c r="F28" s="16"/>
      <c r="G28" s="16"/>
    </row>
    <row r="29" spans="1:24">
      <c r="A29" s="30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31"/>
    </row>
    <row r="30" spans="1:24">
      <c r="A30" s="46"/>
      <c r="B30" s="22"/>
      <c r="C30" s="22" t="s">
        <v>26</v>
      </c>
      <c r="D30" s="22"/>
      <c r="E30" s="40">
        <f>1/E32</f>
        <v>292.99736302373282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33"/>
    </row>
    <row r="31" spans="1:24">
      <c r="A31" s="46"/>
      <c r="B31" s="22"/>
      <c r="C31" s="22" t="s">
        <v>23</v>
      </c>
      <c r="D31" s="22"/>
      <c r="E31" s="47">
        <f>100000/1000000</f>
        <v>0.1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33"/>
    </row>
    <row r="32" spans="1:24">
      <c r="A32" s="46"/>
      <c r="B32" s="22"/>
      <c r="C32" s="22" t="s">
        <v>22</v>
      </c>
      <c r="D32" s="22"/>
      <c r="E32" s="22">
        <f>3413/1000000</f>
        <v>3.4129999999999998E-3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3"/>
    </row>
    <row r="33" spans="1:24">
      <c r="A33" s="46"/>
      <c r="B33" s="22" t="s">
        <v>25</v>
      </c>
      <c r="C33" s="22"/>
      <c r="D33" s="22"/>
      <c r="E33" s="22">
        <v>3.34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3"/>
    </row>
    <row r="34" spans="1:24">
      <c r="A34" s="46"/>
      <c r="B34" s="22" t="s">
        <v>24</v>
      </c>
      <c r="C34" s="22"/>
      <c r="D34" s="22"/>
      <c r="E34" s="22">
        <v>1.0469999999999999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33"/>
    </row>
    <row r="35" spans="1:24">
      <c r="A35" s="48"/>
      <c r="B35" s="3"/>
      <c r="C35" s="3" t="s">
        <v>52</v>
      </c>
      <c r="D35" s="3"/>
      <c r="E35" s="3"/>
      <c r="F35" s="3"/>
      <c r="G35" s="3"/>
      <c r="H35" s="3"/>
      <c r="I35" s="3"/>
      <c r="J35" s="83" t="s">
        <v>2</v>
      </c>
      <c r="K35" s="83"/>
      <c r="L35" s="3" t="s">
        <v>28</v>
      </c>
      <c r="M35" s="3"/>
      <c r="N35" s="3" t="s">
        <v>19</v>
      </c>
      <c r="O35" s="3" t="s">
        <v>20</v>
      </c>
      <c r="P35" s="3"/>
      <c r="Q35" s="3"/>
      <c r="R35" s="3"/>
      <c r="S35" s="3" t="s">
        <v>53</v>
      </c>
      <c r="T35" s="3"/>
      <c r="U35" s="3"/>
      <c r="V35" s="3"/>
      <c r="W35" s="3"/>
      <c r="X35" s="26"/>
    </row>
    <row r="36" spans="1:24">
      <c r="A36" s="48"/>
      <c r="B36" s="3"/>
      <c r="C36" s="3" t="s">
        <v>42</v>
      </c>
      <c r="D36" s="3" t="s">
        <v>19</v>
      </c>
      <c r="E36" s="3" t="s">
        <v>20</v>
      </c>
      <c r="F36" s="3"/>
      <c r="G36" s="3" t="s">
        <v>18</v>
      </c>
      <c r="H36" s="3" t="s">
        <v>21</v>
      </c>
      <c r="I36" s="3"/>
      <c r="J36" s="19" t="s">
        <v>18</v>
      </c>
      <c r="K36" s="19"/>
      <c r="L36" s="3"/>
      <c r="M36" s="3"/>
      <c r="N36" s="3"/>
      <c r="O36" s="3"/>
      <c r="P36" s="3" t="s">
        <v>1</v>
      </c>
      <c r="Q36" s="3" t="s">
        <v>6</v>
      </c>
      <c r="R36" s="3"/>
      <c r="S36" s="3" t="s">
        <v>18</v>
      </c>
      <c r="T36" s="3" t="s">
        <v>21</v>
      </c>
      <c r="U36" s="3"/>
      <c r="V36" s="3" t="s">
        <v>19</v>
      </c>
      <c r="W36" s="3" t="s">
        <v>20</v>
      </c>
      <c r="X36" s="26"/>
    </row>
    <row r="37" spans="1:24">
      <c r="A37" s="4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6"/>
    </row>
    <row r="38" spans="1:24">
      <c r="A38" s="48"/>
      <c r="B38" s="30">
        <v>39891</v>
      </c>
      <c r="C38" s="20">
        <f>B9</f>
        <v>182</v>
      </c>
      <c r="D38" s="20">
        <f>C38*E$31</f>
        <v>18.2</v>
      </c>
      <c r="E38" s="20">
        <f>D38*E$34</f>
        <v>19.055399999999999</v>
      </c>
      <c r="F38" s="3"/>
      <c r="G38" s="20">
        <f>D38*E$30</f>
        <v>5332.5520070319371</v>
      </c>
      <c r="H38" s="20">
        <f>E38*E$30</f>
        <v>5583.1819513624378</v>
      </c>
      <c r="I38" s="20"/>
      <c r="J38" s="19">
        <f>J9</f>
        <v>258</v>
      </c>
      <c r="K38" s="19"/>
      <c r="L38" s="3">
        <f>J38*E$33</f>
        <v>861.71999999999991</v>
      </c>
      <c r="M38" s="3"/>
      <c r="N38" s="20">
        <f>J38*E$32</f>
        <v>0.88055399999999995</v>
      </c>
      <c r="O38" s="20">
        <f>L38*E$32</f>
        <v>2.9410503599999998</v>
      </c>
      <c r="P38" s="3">
        <f t="shared" ref="P38:P43" si="0">B84</f>
        <v>0</v>
      </c>
      <c r="Q38" s="3">
        <f>B65</f>
        <v>0</v>
      </c>
      <c r="R38" s="3"/>
      <c r="S38" s="20">
        <f>G38+J38</f>
        <v>5590.5520070319371</v>
      </c>
      <c r="T38" s="20">
        <f>H38+L38</f>
        <v>6444.901951362438</v>
      </c>
      <c r="U38" s="20"/>
      <c r="V38" s="20">
        <f>D38+N38</f>
        <v>19.080553999999999</v>
      </c>
      <c r="W38" s="20">
        <f>E38+O38</f>
        <v>21.996450359999997</v>
      </c>
      <c r="X38" s="26"/>
    </row>
    <row r="39" spans="1:24">
      <c r="A39" s="48"/>
      <c r="B39" s="32">
        <v>39920</v>
      </c>
      <c r="C39" s="20">
        <f t="shared" ref="C39:C55" si="1">B10</f>
        <v>94</v>
      </c>
      <c r="D39" s="20">
        <f t="shared" ref="D39:D54" si="2">C39*E$31</f>
        <v>9.4</v>
      </c>
      <c r="E39" s="20">
        <f t="shared" ref="E39:E54" si="3">D39*E$34</f>
        <v>9.8417999999999992</v>
      </c>
      <c r="F39" s="3"/>
      <c r="G39" s="20">
        <f t="shared" ref="G39:G54" si="4">D39*E$30</f>
        <v>2754.1752124230884</v>
      </c>
      <c r="H39" s="20">
        <f t="shared" ref="H39:H54" si="5">E39*E$30</f>
        <v>2883.6214474069734</v>
      </c>
      <c r="I39" s="20"/>
      <c r="J39" s="19">
        <f t="shared" ref="J39:J55" si="6">J10</f>
        <v>274</v>
      </c>
      <c r="K39" s="19"/>
      <c r="L39" s="3">
        <f t="shared" ref="L39:L54" si="7">J39*E$33</f>
        <v>915.16</v>
      </c>
      <c r="M39" s="3"/>
      <c r="N39" s="20">
        <f t="shared" ref="N39:N54" si="8">J39*E$32</f>
        <v>0.93516199999999994</v>
      </c>
      <c r="O39" s="20">
        <f t="shared" ref="O39:O54" si="9">L39*E$32</f>
        <v>3.1234410799999996</v>
      </c>
      <c r="P39" s="3">
        <f t="shared" si="0"/>
        <v>0</v>
      </c>
      <c r="Q39" s="3">
        <f t="shared" ref="Q39" si="10">B66</f>
        <v>0</v>
      </c>
      <c r="R39" s="3"/>
      <c r="S39" s="20">
        <f t="shared" ref="S39:S54" si="11">G39+J39</f>
        <v>3028.1752124230884</v>
      </c>
      <c r="T39" s="20">
        <f t="shared" ref="T39:T54" si="12">H39+L39</f>
        <v>3798.7814474069733</v>
      </c>
      <c r="U39" s="20"/>
      <c r="V39" s="20">
        <f t="shared" ref="V39:V54" si="13">D39+N39</f>
        <v>10.335162</v>
      </c>
      <c r="W39" s="20">
        <f t="shared" ref="W39:W54" si="14">E39+O39</f>
        <v>12.965241079999998</v>
      </c>
      <c r="X39" s="26"/>
    </row>
    <row r="40" spans="1:24">
      <c r="A40" s="48"/>
      <c r="B40" s="32">
        <v>39953</v>
      </c>
      <c r="C40" s="20">
        <f t="shared" si="1"/>
        <v>36</v>
      </c>
      <c r="D40" s="20">
        <f t="shared" si="2"/>
        <v>3.6</v>
      </c>
      <c r="E40" s="20">
        <f t="shared" si="3"/>
        <v>3.7691999999999997</v>
      </c>
      <c r="F40" s="3"/>
      <c r="G40" s="20">
        <f t="shared" si="4"/>
        <v>1054.7905068854382</v>
      </c>
      <c r="H40" s="20">
        <f t="shared" si="5"/>
        <v>1104.3656607090536</v>
      </c>
      <c r="I40" s="20"/>
      <c r="J40" s="19">
        <f t="shared" si="6"/>
        <v>231</v>
      </c>
      <c r="K40" s="19"/>
      <c r="L40" s="3">
        <f t="shared" si="7"/>
        <v>771.54</v>
      </c>
      <c r="M40" s="3"/>
      <c r="N40" s="20">
        <f t="shared" si="8"/>
        <v>0.78840299999999996</v>
      </c>
      <c r="O40" s="20">
        <f t="shared" si="9"/>
        <v>2.6332660199999998</v>
      </c>
      <c r="P40" s="3">
        <f t="shared" si="0"/>
        <v>0</v>
      </c>
      <c r="Q40" s="3" t="e">
        <f>#REF!</f>
        <v>#REF!</v>
      </c>
      <c r="R40" s="3"/>
      <c r="S40" s="20">
        <f t="shared" si="11"/>
        <v>1285.7905068854382</v>
      </c>
      <c r="T40" s="20">
        <f t="shared" si="12"/>
        <v>1875.9056607090536</v>
      </c>
      <c r="U40" s="20"/>
      <c r="V40" s="20">
        <f t="shared" si="13"/>
        <v>4.3884030000000003</v>
      </c>
      <c r="W40" s="20">
        <f t="shared" si="14"/>
        <v>6.4024660199999994</v>
      </c>
      <c r="X40" s="26"/>
    </row>
    <row r="41" spans="1:24">
      <c r="A41" s="48"/>
      <c r="B41" s="32">
        <v>39983</v>
      </c>
      <c r="C41" s="20">
        <f t="shared" si="1"/>
        <v>20</v>
      </c>
      <c r="D41" s="20">
        <f t="shared" si="2"/>
        <v>2</v>
      </c>
      <c r="E41" s="20">
        <f t="shared" si="3"/>
        <v>2.0939999999999999</v>
      </c>
      <c r="F41" s="3"/>
      <c r="G41" s="20">
        <f t="shared" si="4"/>
        <v>585.99472604746563</v>
      </c>
      <c r="H41" s="20">
        <f t="shared" si="5"/>
        <v>613.53647817169644</v>
      </c>
      <c r="I41" s="20"/>
      <c r="J41" s="19">
        <f t="shared" si="6"/>
        <v>196</v>
      </c>
      <c r="K41" s="19"/>
      <c r="L41" s="3">
        <f t="shared" si="7"/>
        <v>654.64</v>
      </c>
      <c r="M41" s="3"/>
      <c r="N41" s="20">
        <f t="shared" si="8"/>
        <v>0.66894799999999999</v>
      </c>
      <c r="O41" s="20">
        <f t="shared" si="9"/>
        <v>2.2342863199999998</v>
      </c>
      <c r="P41" s="3">
        <f t="shared" si="0"/>
        <v>0</v>
      </c>
      <c r="Q41" s="3" t="e">
        <f>#REF!</f>
        <v>#REF!</v>
      </c>
      <c r="R41" s="3"/>
      <c r="S41" s="20">
        <f t="shared" si="11"/>
        <v>781.99472604746563</v>
      </c>
      <c r="T41" s="20">
        <f t="shared" si="12"/>
        <v>1268.1764781716965</v>
      </c>
      <c r="U41" s="20"/>
      <c r="V41" s="20">
        <f t="shared" si="13"/>
        <v>2.6689479999999999</v>
      </c>
      <c r="W41" s="20">
        <f t="shared" si="14"/>
        <v>4.3282863200000001</v>
      </c>
      <c r="X41" s="26"/>
    </row>
    <row r="42" spans="1:24">
      <c r="A42" s="48"/>
      <c r="B42" s="32">
        <v>40016</v>
      </c>
      <c r="C42" s="20">
        <f t="shared" si="1"/>
        <v>15</v>
      </c>
      <c r="D42" s="20">
        <f t="shared" si="2"/>
        <v>1.5</v>
      </c>
      <c r="E42" s="20">
        <f t="shared" si="3"/>
        <v>1.5705</v>
      </c>
      <c r="F42" s="3"/>
      <c r="G42" s="20">
        <f t="shared" si="4"/>
        <v>439.49604453559925</v>
      </c>
      <c r="H42" s="20">
        <f t="shared" si="5"/>
        <v>460.15235862877239</v>
      </c>
      <c r="I42" s="20"/>
      <c r="J42" s="19">
        <f t="shared" si="6"/>
        <v>206</v>
      </c>
      <c r="K42" s="19"/>
      <c r="L42" s="3">
        <f t="shared" si="7"/>
        <v>688.04</v>
      </c>
      <c r="M42" s="3"/>
      <c r="N42" s="20">
        <f t="shared" si="8"/>
        <v>0.70307799999999998</v>
      </c>
      <c r="O42" s="20">
        <f t="shared" si="9"/>
        <v>2.3482805199999999</v>
      </c>
      <c r="P42" s="3">
        <f t="shared" si="0"/>
        <v>0</v>
      </c>
      <c r="Q42" s="3" t="str">
        <f t="shared" ref="Q42:Q54" si="15">B67</f>
        <v>Sep</v>
      </c>
      <c r="R42" s="3"/>
      <c r="S42" s="20">
        <f t="shared" si="11"/>
        <v>645.49604453559925</v>
      </c>
      <c r="T42" s="20">
        <f t="shared" si="12"/>
        <v>1148.1923586287724</v>
      </c>
      <c r="U42" s="20"/>
      <c r="V42" s="20">
        <f t="shared" si="13"/>
        <v>2.2030780000000001</v>
      </c>
      <c r="W42" s="20">
        <f t="shared" si="14"/>
        <v>3.9187805199999999</v>
      </c>
      <c r="X42" s="26"/>
    </row>
    <row r="43" spans="1:24">
      <c r="A43" s="48"/>
      <c r="B43" s="32">
        <v>40045</v>
      </c>
      <c r="C43" s="20">
        <f t="shared" si="1"/>
        <v>11</v>
      </c>
      <c r="D43" s="20">
        <f t="shared" si="2"/>
        <v>1.1000000000000001</v>
      </c>
      <c r="E43" s="20">
        <f t="shared" si="3"/>
        <v>1.1516999999999999</v>
      </c>
      <c r="F43" s="3"/>
      <c r="G43" s="20">
        <f t="shared" si="4"/>
        <v>322.29709932610615</v>
      </c>
      <c r="H43" s="20">
        <f t="shared" si="5"/>
        <v>337.44506299443304</v>
      </c>
      <c r="I43" s="20"/>
      <c r="J43" s="19">
        <f t="shared" si="6"/>
        <v>183</v>
      </c>
      <c r="K43" s="19"/>
      <c r="L43" s="3">
        <f t="shared" si="7"/>
        <v>611.22</v>
      </c>
      <c r="M43" s="3"/>
      <c r="N43" s="20">
        <f t="shared" si="8"/>
        <v>0.624579</v>
      </c>
      <c r="O43" s="20">
        <f t="shared" si="9"/>
        <v>2.0860938600000001</v>
      </c>
      <c r="P43" s="3">
        <f t="shared" si="0"/>
        <v>0</v>
      </c>
      <c r="Q43" s="3" t="str">
        <f t="shared" si="15"/>
        <v>Oct</v>
      </c>
      <c r="R43" s="3"/>
      <c r="S43" s="20">
        <f t="shared" si="11"/>
        <v>505.29709932610615</v>
      </c>
      <c r="T43" s="20">
        <f t="shared" si="12"/>
        <v>948.66506299443313</v>
      </c>
      <c r="U43" s="20"/>
      <c r="V43" s="20">
        <f t="shared" si="13"/>
        <v>1.7245790000000001</v>
      </c>
      <c r="W43" s="20">
        <f t="shared" si="14"/>
        <v>3.23779386</v>
      </c>
      <c r="X43" s="26"/>
    </row>
    <row r="44" spans="1:24">
      <c r="A44" s="48"/>
      <c r="B44" s="32">
        <v>40077</v>
      </c>
      <c r="C44" s="20">
        <f t="shared" si="1"/>
        <v>15</v>
      </c>
      <c r="D44" s="20">
        <f t="shared" si="2"/>
        <v>1.5</v>
      </c>
      <c r="E44" s="20">
        <f t="shared" si="3"/>
        <v>1.5705</v>
      </c>
      <c r="F44" s="3"/>
      <c r="G44" s="20">
        <f t="shared" si="4"/>
        <v>439.49604453559925</v>
      </c>
      <c r="H44" s="20">
        <f t="shared" si="5"/>
        <v>460.15235862877239</v>
      </c>
      <c r="I44" s="20"/>
      <c r="J44" s="19">
        <f t="shared" si="6"/>
        <v>180</v>
      </c>
      <c r="K44" s="19"/>
      <c r="L44" s="3">
        <f t="shared" si="7"/>
        <v>601.19999999999993</v>
      </c>
      <c r="M44" s="3"/>
      <c r="N44" s="20">
        <f t="shared" si="8"/>
        <v>0.61434</v>
      </c>
      <c r="O44" s="20">
        <f t="shared" si="9"/>
        <v>2.0518955999999995</v>
      </c>
      <c r="P44" s="3">
        <f>HDD!B8</f>
        <v>158</v>
      </c>
      <c r="Q44" s="3" t="str">
        <f t="shared" si="15"/>
        <v>Nov</v>
      </c>
      <c r="R44" s="3"/>
      <c r="S44" s="20">
        <f t="shared" si="11"/>
        <v>619.49604453559925</v>
      </c>
      <c r="T44" s="20">
        <f t="shared" si="12"/>
        <v>1061.3523586287724</v>
      </c>
      <c r="U44" s="20"/>
      <c r="V44" s="20">
        <f t="shared" si="13"/>
        <v>2.1143399999999999</v>
      </c>
      <c r="W44" s="20">
        <f t="shared" si="14"/>
        <v>3.6223955999999995</v>
      </c>
      <c r="X44" s="26"/>
    </row>
    <row r="45" spans="1:24">
      <c r="A45" s="48"/>
      <c r="B45" s="32">
        <v>40106</v>
      </c>
      <c r="C45" s="20">
        <f t="shared" si="1"/>
        <v>45</v>
      </c>
      <c r="D45" s="20">
        <f t="shared" si="2"/>
        <v>4.5</v>
      </c>
      <c r="E45" s="20">
        <f t="shared" si="3"/>
        <v>4.7115</v>
      </c>
      <c r="F45" s="3"/>
      <c r="G45" s="20">
        <f t="shared" si="4"/>
        <v>1318.4881336067976</v>
      </c>
      <c r="H45" s="20">
        <f t="shared" si="5"/>
        <v>1380.4570758863172</v>
      </c>
      <c r="I45" s="20"/>
      <c r="J45" s="19">
        <f t="shared" si="6"/>
        <v>266</v>
      </c>
      <c r="K45" s="19"/>
      <c r="L45" s="3">
        <f t="shared" si="7"/>
        <v>888.43999999999994</v>
      </c>
      <c r="M45" s="3"/>
      <c r="N45" s="20">
        <f t="shared" si="8"/>
        <v>0.90785799999999994</v>
      </c>
      <c r="O45" s="20">
        <f t="shared" si="9"/>
        <v>3.0322457199999997</v>
      </c>
      <c r="P45" s="3">
        <f>HDD!B9</f>
        <v>412</v>
      </c>
      <c r="Q45" s="3" t="str">
        <f t="shared" si="15"/>
        <v>Dec</v>
      </c>
      <c r="R45" s="3"/>
      <c r="S45" s="20">
        <f t="shared" si="11"/>
        <v>1584.4881336067976</v>
      </c>
      <c r="T45" s="20">
        <f t="shared" si="12"/>
        <v>2268.897075886317</v>
      </c>
      <c r="U45" s="20"/>
      <c r="V45" s="20">
        <f t="shared" si="13"/>
        <v>5.4078580000000001</v>
      </c>
      <c r="W45" s="20">
        <f t="shared" si="14"/>
        <v>7.7437457199999997</v>
      </c>
      <c r="X45" s="26"/>
    </row>
    <row r="46" spans="1:24">
      <c r="A46" s="48"/>
      <c r="B46" s="32">
        <v>40134</v>
      </c>
      <c r="C46" s="20">
        <f t="shared" si="1"/>
        <v>54</v>
      </c>
      <c r="D46" s="20">
        <f t="shared" si="2"/>
        <v>5.4</v>
      </c>
      <c r="E46" s="20">
        <f t="shared" si="3"/>
        <v>5.6538000000000004</v>
      </c>
      <c r="F46" s="3"/>
      <c r="G46" s="20">
        <f t="shared" si="4"/>
        <v>1582.1857603281574</v>
      </c>
      <c r="H46" s="20">
        <f t="shared" si="5"/>
        <v>1656.5484910635807</v>
      </c>
      <c r="I46" s="20"/>
      <c r="J46" s="19">
        <f t="shared" si="6"/>
        <v>273</v>
      </c>
      <c r="K46" s="19"/>
      <c r="L46" s="3">
        <f t="shared" si="7"/>
        <v>911.81999999999994</v>
      </c>
      <c r="M46" s="3"/>
      <c r="N46" s="20">
        <f t="shared" si="8"/>
        <v>0.93174899999999994</v>
      </c>
      <c r="O46" s="20">
        <f t="shared" si="9"/>
        <v>3.1120416599999996</v>
      </c>
      <c r="P46" s="3">
        <f>HDD!B10</f>
        <v>485</v>
      </c>
      <c r="Q46" s="3" t="str">
        <f t="shared" si="15"/>
        <v>Jan</v>
      </c>
      <c r="R46" s="3"/>
      <c r="S46" s="20">
        <f t="shared" si="11"/>
        <v>1855.1857603281574</v>
      </c>
      <c r="T46" s="20">
        <f t="shared" si="12"/>
        <v>2568.3684910635807</v>
      </c>
      <c r="U46" s="20"/>
      <c r="V46" s="20">
        <f t="shared" si="13"/>
        <v>6.3317490000000003</v>
      </c>
      <c r="W46" s="20">
        <f t="shared" si="14"/>
        <v>8.7658416599999995</v>
      </c>
      <c r="X46" s="26"/>
    </row>
    <row r="47" spans="1:24">
      <c r="A47" s="48"/>
      <c r="B47" s="32">
        <v>40165</v>
      </c>
      <c r="C47" s="20">
        <f t="shared" si="1"/>
        <v>108</v>
      </c>
      <c r="D47" s="20">
        <f t="shared" si="2"/>
        <v>10.8</v>
      </c>
      <c r="E47" s="20">
        <f t="shared" si="3"/>
        <v>11.307600000000001</v>
      </c>
      <c r="F47" s="3"/>
      <c r="G47" s="20">
        <f t="shared" si="4"/>
        <v>3164.3715206563147</v>
      </c>
      <c r="H47" s="20">
        <f t="shared" si="5"/>
        <v>3313.0969821271615</v>
      </c>
      <c r="I47" s="20"/>
      <c r="J47" s="19">
        <f t="shared" si="6"/>
        <v>320</v>
      </c>
      <c r="K47" s="19"/>
      <c r="L47" s="3">
        <f t="shared" si="7"/>
        <v>1068.8</v>
      </c>
      <c r="M47" s="3"/>
      <c r="N47" s="20">
        <f t="shared" si="8"/>
        <v>1.09216</v>
      </c>
      <c r="O47" s="20">
        <f t="shared" si="9"/>
        <v>3.6478143999999997</v>
      </c>
      <c r="P47" s="3">
        <f>HDD!B11</f>
        <v>988</v>
      </c>
      <c r="Q47" s="3" t="str">
        <f t="shared" si="15"/>
        <v>Feb</v>
      </c>
      <c r="R47" s="3"/>
      <c r="S47" s="20">
        <f t="shared" si="11"/>
        <v>3484.3715206563147</v>
      </c>
      <c r="T47" s="20">
        <f t="shared" si="12"/>
        <v>4381.8969821271612</v>
      </c>
      <c r="U47" s="20"/>
      <c r="V47" s="20">
        <f t="shared" si="13"/>
        <v>11.892160000000001</v>
      </c>
      <c r="W47" s="20">
        <f t="shared" si="14"/>
        <v>14.9554144</v>
      </c>
      <c r="X47" s="26"/>
    </row>
    <row r="48" spans="1:24">
      <c r="A48" s="48"/>
      <c r="B48" s="32">
        <v>40199</v>
      </c>
      <c r="C48" s="20">
        <f t="shared" si="1"/>
        <v>173</v>
      </c>
      <c r="D48" s="20">
        <f t="shared" si="2"/>
        <v>17.3</v>
      </c>
      <c r="E48" s="20">
        <f t="shared" si="3"/>
        <v>18.113099999999999</v>
      </c>
      <c r="F48" s="3"/>
      <c r="G48" s="20">
        <f t="shared" si="4"/>
        <v>5068.8543803105777</v>
      </c>
      <c r="H48" s="20">
        <f t="shared" si="5"/>
        <v>5307.0905361851746</v>
      </c>
      <c r="I48" s="20"/>
      <c r="J48" s="19">
        <f t="shared" si="6"/>
        <v>347</v>
      </c>
      <c r="K48" s="19"/>
      <c r="L48" s="3">
        <f t="shared" si="7"/>
        <v>1158.98</v>
      </c>
      <c r="M48" s="3"/>
      <c r="N48" s="20">
        <f t="shared" si="8"/>
        <v>1.1843109999999999</v>
      </c>
      <c r="O48" s="20">
        <f t="shared" si="9"/>
        <v>3.9555987399999997</v>
      </c>
      <c r="P48" s="3">
        <f>HDD!B12</f>
        <v>1096</v>
      </c>
      <c r="Q48" s="3" t="str">
        <f t="shared" si="15"/>
        <v>Mar</v>
      </c>
      <c r="R48" s="3"/>
      <c r="S48" s="20">
        <f t="shared" si="11"/>
        <v>5415.8543803105777</v>
      </c>
      <c r="T48" s="20">
        <f t="shared" si="12"/>
        <v>6466.0705361851742</v>
      </c>
      <c r="U48" s="20"/>
      <c r="V48" s="20">
        <f t="shared" si="13"/>
        <v>18.484311000000002</v>
      </c>
      <c r="W48" s="20">
        <f t="shared" si="14"/>
        <v>22.068698739999999</v>
      </c>
      <c r="X48" s="26"/>
    </row>
    <row r="49" spans="1:24">
      <c r="A49" s="48"/>
      <c r="B49" s="32">
        <v>40227</v>
      </c>
      <c r="C49" s="20">
        <f t="shared" si="1"/>
        <v>143</v>
      </c>
      <c r="D49" s="20">
        <f t="shared" si="2"/>
        <v>14.3</v>
      </c>
      <c r="E49" s="20">
        <f t="shared" si="3"/>
        <v>14.972099999999999</v>
      </c>
      <c r="F49" s="3"/>
      <c r="G49" s="20">
        <f t="shared" si="4"/>
        <v>4189.8622912393794</v>
      </c>
      <c r="H49" s="20">
        <f t="shared" si="5"/>
        <v>4386.7858189276303</v>
      </c>
      <c r="I49" s="20"/>
      <c r="J49" s="19">
        <f t="shared" si="6"/>
        <v>327</v>
      </c>
      <c r="K49" s="19"/>
      <c r="L49" s="3">
        <f t="shared" si="7"/>
        <v>1092.18</v>
      </c>
      <c r="M49" s="3"/>
      <c r="N49" s="20">
        <f t="shared" si="8"/>
        <v>1.1160509999999999</v>
      </c>
      <c r="O49" s="20">
        <f t="shared" si="9"/>
        <v>3.72761034</v>
      </c>
      <c r="P49" s="3">
        <f>HDD!B13</f>
        <v>901</v>
      </c>
      <c r="Q49" s="3" t="str">
        <f t="shared" si="15"/>
        <v>Apr</v>
      </c>
      <c r="R49" s="3"/>
      <c r="S49" s="20">
        <f t="shared" si="11"/>
        <v>4516.8622912393794</v>
      </c>
      <c r="T49" s="20">
        <f t="shared" si="12"/>
        <v>5478.9658189276306</v>
      </c>
      <c r="U49" s="20"/>
      <c r="V49" s="20">
        <f t="shared" si="13"/>
        <v>15.416051000000001</v>
      </c>
      <c r="W49" s="20">
        <f t="shared" si="14"/>
        <v>18.699710339999999</v>
      </c>
      <c r="X49" s="26"/>
    </row>
    <row r="50" spans="1:24">
      <c r="A50" s="48"/>
      <c r="B50" s="32">
        <v>40255</v>
      </c>
      <c r="C50" s="20">
        <f t="shared" si="1"/>
        <v>97</v>
      </c>
      <c r="D50" s="20">
        <f t="shared" si="2"/>
        <v>9.7000000000000011</v>
      </c>
      <c r="E50" s="20">
        <f t="shared" si="3"/>
        <v>10.155900000000001</v>
      </c>
      <c r="F50" s="3"/>
      <c r="G50" s="20">
        <f t="shared" si="4"/>
        <v>2842.0744213302087</v>
      </c>
      <c r="H50" s="20">
        <f t="shared" si="5"/>
        <v>2975.6519191327284</v>
      </c>
      <c r="I50" s="20"/>
      <c r="J50" s="19">
        <f t="shared" si="6"/>
        <v>297</v>
      </c>
      <c r="K50" s="19"/>
      <c r="L50" s="3">
        <f t="shared" si="7"/>
        <v>991.9799999999999</v>
      </c>
      <c r="M50" s="3"/>
      <c r="N50" s="20">
        <f t="shared" si="8"/>
        <v>1.0136609999999999</v>
      </c>
      <c r="O50" s="20">
        <f t="shared" si="9"/>
        <v>3.3856277399999994</v>
      </c>
      <c r="P50" s="3">
        <f>HDD!B14</f>
        <v>658</v>
      </c>
      <c r="Q50" s="3" t="str">
        <f t="shared" si="15"/>
        <v>May</v>
      </c>
      <c r="R50" s="3"/>
      <c r="S50" s="20">
        <f t="shared" si="11"/>
        <v>3139.0744213302087</v>
      </c>
      <c r="T50" s="20">
        <f t="shared" si="12"/>
        <v>3967.6319191327284</v>
      </c>
      <c r="U50" s="20"/>
      <c r="V50" s="20">
        <f t="shared" si="13"/>
        <v>10.713661000000002</v>
      </c>
      <c r="W50" s="20">
        <f t="shared" si="14"/>
        <v>13.541527739999999</v>
      </c>
      <c r="X50" s="26"/>
    </row>
    <row r="51" spans="1:24">
      <c r="A51" s="48"/>
      <c r="B51" s="32">
        <v>40288</v>
      </c>
      <c r="C51" s="20">
        <f t="shared" si="1"/>
        <v>62</v>
      </c>
      <c r="D51" s="20">
        <f t="shared" si="2"/>
        <v>6.2</v>
      </c>
      <c r="E51" s="20">
        <f t="shared" si="3"/>
        <v>6.4913999999999996</v>
      </c>
      <c r="F51" s="3"/>
      <c r="G51" s="20">
        <f t="shared" si="4"/>
        <v>1816.5836507471436</v>
      </c>
      <c r="H51" s="20">
        <f t="shared" si="5"/>
        <v>1901.9630823322591</v>
      </c>
      <c r="I51" s="20"/>
      <c r="J51" s="19">
        <f t="shared" si="6"/>
        <v>264</v>
      </c>
      <c r="K51" s="19"/>
      <c r="L51" s="3">
        <f t="shared" si="7"/>
        <v>881.76</v>
      </c>
      <c r="M51" s="3"/>
      <c r="N51" s="20">
        <f t="shared" si="8"/>
        <v>0.90103199999999994</v>
      </c>
      <c r="O51" s="20">
        <f t="shared" si="9"/>
        <v>3.0094468799999996</v>
      </c>
      <c r="P51" s="3">
        <f>HDD!B15</f>
        <v>385</v>
      </c>
      <c r="Q51" s="3" t="str">
        <f t="shared" si="15"/>
        <v>Jun</v>
      </c>
      <c r="R51" s="3"/>
      <c r="S51" s="20">
        <f t="shared" si="11"/>
        <v>2080.5836507471436</v>
      </c>
      <c r="T51" s="20">
        <f t="shared" si="12"/>
        <v>2783.7230823322589</v>
      </c>
      <c r="U51" s="20"/>
      <c r="V51" s="20">
        <f t="shared" si="13"/>
        <v>7.101032</v>
      </c>
      <c r="W51" s="20">
        <f t="shared" si="14"/>
        <v>9.5008468799999992</v>
      </c>
      <c r="X51" s="26"/>
    </row>
    <row r="52" spans="1:24">
      <c r="A52" s="48"/>
      <c r="B52" s="32">
        <v>40316</v>
      </c>
      <c r="C52" s="20">
        <f t="shared" si="1"/>
        <v>31</v>
      </c>
      <c r="D52" s="20">
        <f t="shared" si="2"/>
        <v>3.1</v>
      </c>
      <c r="E52" s="20">
        <f t="shared" si="3"/>
        <v>3.2456999999999998</v>
      </c>
      <c r="F52" s="3"/>
      <c r="G52" s="20">
        <f t="shared" si="4"/>
        <v>908.29182537357178</v>
      </c>
      <c r="H52" s="20">
        <f t="shared" si="5"/>
        <v>950.98154116612955</v>
      </c>
      <c r="I52" s="20"/>
      <c r="J52" s="19">
        <f t="shared" si="6"/>
        <v>222</v>
      </c>
      <c r="K52" s="19"/>
      <c r="L52" s="3">
        <f t="shared" si="7"/>
        <v>741.48</v>
      </c>
      <c r="M52" s="3"/>
      <c r="N52" s="20">
        <f t="shared" si="8"/>
        <v>0.75768599999999997</v>
      </c>
      <c r="O52" s="20">
        <f t="shared" si="9"/>
        <v>2.5306712399999998</v>
      </c>
      <c r="P52" s="3">
        <f>HDD!B16</f>
        <v>172</v>
      </c>
      <c r="Q52" s="3" t="str">
        <f t="shared" si="15"/>
        <v>Jul</v>
      </c>
      <c r="R52" s="3"/>
      <c r="S52" s="20">
        <f t="shared" si="11"/>
        <v>1130.2918253735718</v>
      </c>
      <c r="T52" s="20">
        <f t="shared" si="12"/>
        <v>1692.4615411661296</v>
      </c>
      <c r="U52" s="20"/>
      <c r="V52" s="20">
        <f t="shared" si="13"/>
        <v>3.8576860000000002</v>
      </c>
      <c r="W52" s="20">
        <f t="shared" si="14"/>
        <v>5.7763712399999996</v>
      </c>
      <c r="X52" s="26"/>
    </row>
    <row r="53" spans="1:24">
      <c r="A53" s="48"/>
      <c r="B53" s="32">
        <v>40345</v>
      </c>
      <c r="C53" s="20">
        <f t="shared" si="1"/>
        <v>16</v>
      </c>
      <c r="D53" s="20">
        <f t="shared" si="2"/>
        <v>1.6</v>
      </c>
      <c r="E53" s="20">
        <f t="shared" si="3"/>
        <v>1.6752</v>
      </c>
      <c r="F53" s="3"/>
      <c r="G53" s="20">
        <f t="shared" si="4"/>
        <v>468.79578083797253</v>
      </c>
      <c r="H53" s="20">
        <f t="shared" si="5"/>
        <v>490.82918253735721</v>
      </c>
      <c r="I53" s="20"/>
      <c r="J53" s="19">
        <f t="shared" si="6"/>
        <v>217</v>
      </c>
      <c r="K53" s="19"/>
      <c r="L53" s="3">
        <f t="shared" si="7"/>
        <v>724.78</v>
      </c>
      <c r="M53" s="3"/>
      <c r="N53" s="20">
        <f t="shared" si="8"/>
        <v>0.74062099999999997</v>
      </c>
      <c r="O53" s="20">
        <f t="shared" si="9"/>
        <v>2.47367414</v>
      </c>
      <c r="P53" s="3">
        <f>HDD!B17</f>
        <v>42</v>
      </c>
      <c r="Q53" s="3" t="str">
        <f t="shared" si="15"/>
        <v>Aug</v>
      </c>
      <c r="R53" s="3"/>
      <c r="S53" s="20">
        <f t="shared" si="11"/>
        <v>685.79578083797253</v>
      </c>
      <c r="T53" s="20">
        <f t="shared" si="12"/>
        <v>1215.6091825373571</v>
      </c>
      <c r="U53" s="20"/>
      <c r="V53" s="20">
        <f t="shared" si="13"/>
        <v>2.3406210000000001</v>
      </c>
      <c r="W53" s="20">
        <f t="shared" si="14"/>
        <v>4.1488741400000002</v>
      </c>
      <c r="X53" s="26"/>
    </row>
    <row r="54" spans="1:24">
      <c r="A54" s="48"/>
      <c r="B54" s="32">
        <v>40378</v>
      </c>
      <c r="C54" s="20">
        <f t="shared" si="1"/>
        <v>15</v>
      </c>
      <c r="D54" s="20">
        <f t="shared" si="2"/>
        <v>1.5</v>
      </c>
      <c r="E54" s="20">
        <f t="shared" si="3"/>
        <v>1.5705</v>
      </c>
      <c r="F54" s="3"/>
      <c r="G54" s="20">
        <f t="shared" si="4"/>
        <v>439.49604453559925</v>
      </c>
      <c r="H54" s="20">
        <f t="shared" si="5"/>
        <v>460.15235862877239</v>
      </c>
      <c r="I54" s="20"/>
      <c r="J54" s="19">
        <f t="shared" si="6"/>
        <v>286</v>
      </c>
      <c r="K54" s="19"/>
      <c r="L54" s="3">
        <f t="shared" si="7"/>
        <v>955.24</v>
      </c>
      <c r="M54" s="3"/>
      <c r="N54" s="20">
        <f t="shared" si="8"/>
        <v>0.97611799999999993</v>
      </c>
      <c r="O54" s="20">
        <f t="shared" si="9"/>
        <v>3.2602341199999998</v>
      </c>
      <c r="P54" s="3">
        <f>HDD!B18</f>
        <v>3</v>
      </c>
      <c r="Q54" s="3">
        <f t="shared" si="15"/>
        <v>0</v>
      </c>
      <c r="R54" s="3"/>
      <c r="S54" s="20">
        <f t="shared" si="11"/>
        <v>725.49604453559925</v>
      </c>
      <c r="T54" s="20">
        <f t="shared" si="12"/>
        <v>1415.3923586287724</v>
      </c>
      <c r="U54" s="20"/>
      <c r="V54" s="20">
        <f t="shared" si="13"/>
        <v>2.476118</v>
      </c>
      <c r="W54" s="20">
        <f t="shared" si="14"/>
        <v>4.8307341199999998</v>
      </c>
      <c r="X54" s="26"/>
    </row>
    <row r="55" spans="1:24">
      <c r="A55" s="48"/>
      <c r="B55" s="34">
        <v>40407</v>
      </c>
      <c r="C55" s="20">
        <f t="shared" si="1"/>
        <v>14</v>
      </c>
      <c r="D55" s="20">
        <f t="shared" ref="D55" si="16">C55*E$31</f>
        <v>1.4000000000000001</v>
      </c>
      <c r="E55" s="20">
        <f t="shared" ref="E55" si="17">D55*E$34</f>
        <v>1.4658</v>
      </c>
      <c r="F55" s="3"/>
      <c r="G55" s="20">
        <f t="shared" ref="G55" si="18">D55*E$30</f>
        <v>410.19630823322598</v>
      </c>
      <c r="H55" s="20">
        <f t="shared" ref="H55" si="19">E55*E$30</f>
        <v>429.47553472018757</v>
      </c>
      <c r="I55" s="3"/>
      <c r="J55" s="19">
        <f t="shared" si="6"/>
        <v>285</v>
      </c>
      <c r="K55" s="20"/>
      <c r="L55" s="3">
        <f t="shared" ref="L55" si="20">J55*E$33</f>
        <v>951.9</v>
      </c>
      <c r="M55" s="3"/>
      <c r="N55" s="20">
        <f t="shared" ref="N55" si="21">J55*E$32</f>
        <v>0.97270499999999993</v>
      </c>
      <c r="O55" s="20">
        <f t="shared" ref="O55" si="22">L55*E$32</f>
        <v>3.2488346999999997</v>
      </c>
      <c r="P55" s="3">
        <f>HDD!B19</f>
        <v>10</v>
      </c>
      <c r="Q55" s="3">
        <f t="shared" ref="Q55" si="23">B80</f>
        <v>0</v>
      </c>
      <c r="R55" s="3"/>
      <c r="S55" s="20">
        <f t="shared" ref="S55" si="24">G55+J55</f>
        <v>695.19630823322598</v>
      </c>
      <c r="T55" s="20">
        <f t="shared" ref="T55" si="25">H55+L55</f>
        <v>1381.3755347201875</v>
      </c>
      <c r="U55" s="20"/>
      <c r="V55" s="20">
        <f t="shared" ref="V55" si="26">D55+N55</f>
        <v>2.3727049999999998</v>
      </c>
      <c r="W55" s="20">
        <f t="shared" ref="W55" si="27">E55+O55</f>
        <v>4.7146346999999995</v>
      </c>
      <c r="X55" s="49"/>
    </row>
    <row r="56" spans="1:24">
      <c r="A56" s="4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 t="s">
        <v>18</v>
      </c>
      <c r="T56" s="3" t="s">
        <v>21</v>
      </c>
      <c r="U56" s="3"/>
      <c r="V56" s="3" t="s">
        <v>19</v>
      </c>
      <c r="W56" s="3" t="s">
        <v>20</v>
      </c>
      <c r="X56" s="26"/>
    </row>
    <row r="57" spans="1:24">
      <c r="A57" s="46"/>
      <c r="B57" s="22"/>
      <c r="C57" s="40"/>
      <c r="D57" s="40">
        <f>SUM(D44:D55)</f>
        <v>77.3</v>
      </c>
      <c r="E57" s="40">
        <f>SUM(E44:E55)</f>
        <v>80.933099999999996</v>
      </c>
      <c r="F57" s="22"/>
      <c r="G57" s="22"/>
      <c r="H57" s="22"/>
      <c r="I57" s="22"/>
      <c r="J57" s="40"/>
      <c r="K57" s="22"/>
      <c r="L57" s="22"/>
      <c r="M57" s="22"/>
      <c r="N57" s="40">
        <f>SUM(N44:N55)</f>
        <v>11.208291999999998</v>
      </c>
      <c r="O57" s="40">
        <f>SUM(O44:O55)</f>
        <v>37.43569527999999</v>
      </c>
      <c r="P57" s="22"/>
      <c r="Q57" s="22" t="s">
        <v>54</v>
      </c>
      <c r="R57" s="22"/>
      <c r="S57" s="40">
        <f>SUM(S38:S49)</f>
        <v>29313.563726926463</v>
      </c>
      <c r="T57" s="40">
        <f t="shared" ref="T57:W57" si="28">SUM(T38:T49)</f>
        <v>37710.174222092006</v>
      </c>
      <c r="U57" s="40"/>
      <c r="V57" s="40">
        <f t="shared" si="28"/>
        <v>100.04719299999999</v>
      </c>
      <c r="W57" s="40">
        <f t="shared" si="28"/>
        <v>128.70482461999998</v>
      </c>
      <c r="X57" s="33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77" t="s">
        <v>55</v>
      </c>
      <c r="R58" s="60"/>
      <c r="S58" s="59">
        <f>SUM(S44:S55)</f>
        <v>25932.696161734551</v>
      </c>
      <c r="T58" s="59">
        <f>SUM(T44:T55)</f>
        <v>34681.744881336068</v>
      </c>
      <c r="U58" s="59"/>
      <c r="V58" s="59">
        <f>SUM(V44:V55)</f>
        <v>88.508291999999997</v>
      </c>
      <c r="W58" s="61">
        <f>SUM(W44:W55)</f>
        <v>118.36879528</v>
      </c>
      <c r="X58" s="35"/>
    </row>
    <row r="61" spans="1:24">
      <c r="B61" s="11" t="s">
        <v>75</v>
      </c>
    </row>
    <row r="63" spans="1:24">
      <c r="C63" s="84" t="s">
        <v>63</v>
      </c>
      <c r="D63" s="84"/>
      <c r="E63" s="84"/>
    </row>
    <row r="64" spans="1:24" ht="26.25">
      <c r="C64" s="63"/>
      <c r="D64" s="63" t="s">
        <v>64</v>
      </c>
      <c r="E64" s="63" t="s">
        <v>65</v>
      </c>
      <c r="G64" s="11" t="s">
        <v>70</v>
      </c>
      <c r="H64" s="76" t="s">
        <v>70</v>
      </c>
    </row>
    <row r="65" spans="2:8">
      <c r="C65" s="62"/>
      <c r="D65" s="62"/>
      <c r="E65" s="62"/>
      <c r="F65" s="11" t="s">
        <v>88</v>
      </c>
      <c r="G65" s="11" t="s">
        <v>30</v>
      </c>
      <c r="H65" s="11" t="s">
        <v>73</v>
      </c>
    </row>
    <row r="66" spans="2:8">
      <c r="C66" s="65"/>
      <c r="D66" s="66"/>
      <c r="E66" s="66"/>
      <c r="F66" s="11" t="s">
        <v>71</v>
      </c>
    </row>
    <row r="67" spans="2:8">
      <c r="B67" s="22" t="s">
        <v>77</v>
      </c>
      <c r="C67" s="70"/>
      <c r="D67" s="69">
        <v>53</v>
      </c>
      <c r="E67" s="69">
        <v>66</v>
      </c>
      <c r="F67" s="16">
        <f>0.0133*E67+0.5466</f>
        <v>1.4243999999999999</v>
      </c>
    </row>
    <row r="68" spans="2:8">
      <c r="B68" s="22" t="s">
        <v>78</v>
      </c>
      <c r="C68" s="70"/>
      <c r="D68" s="69">
        <v>9</v>
      </c>
      <c r="E68" s="69">
        <v>348</v>
      </c>
      <c r="F68" s="16">
        <f t="shared" ref="F68:F78" si="29">0.0133*E68+0.5466</f>
        <v>5.1749999999999998</v>
      </c>
    </row>
    <row r="69" spans="2:8">
      <c r="B69" s="22" t="s">
        <v>79</v>
      </c>
      <c r="C69" s="70"/>
      <c r="D69" s="69">
        <v>0</v>
      </c>
      <c r="E69" s="69">
        <v>652</v>
      </c>
      <c r="F69" s="16">
        <f t="shared" si="29"/>
        <v>9.2181999999999995</v>
      </c>
    </row>
    <row r="70" spans="2:8">
      <c r="B70" s="22" t="s">
        <v>80</v>
      </c>
      <c r="C70" s="70"/>
      <c r="D70" s="69">
        <v>0</v>
      </c>
      <c r="E70" s="69">
        <v>902</v>
      </c>
      <c r="F70" s="16">
        <f t="shared" si="29"/>
        <v>12.543199999999999</v>
      </c>
    </row>
    <row r="71" spans="2:8">
      <c r="B71" s="22" t="s">
        <v>81</v>
      </c>
      <c r="C71" s="70"/>
      <c r="D71" s="69">
        <v>0</v>
      </c>
      <c r="E71" s="69">
        <v>1189</v>
      </c>
      <c r="F71" s="16">
        <f t="shared" si="29"/>
        <v>16.360299999999999</v>
      </c>
    </row>
    <row r="72" spans="2:8">
      <c r="B72" s="22" t="s">
        <v>82</v>
      </c>
      <c r="C72" s="70"/>
      <c r="D72" s="69">
        <v>0</v>
      </c>
      <c r="E72" s="69">
        <v>950</v>
      </c>
      <c r="F72" s="16">
        <f t="shared" si="29"/>
        <v>13.1816</v>
      </c>
    </row>
    <row r="73" spans="2:8">
      <c r="B73" s="22" t="s">
        <v>83</v>
      </c>
      <c r="C73" s="70"/>
      <c r="D73" s="69">
        <v>0</v>
      </c>
      <c r="E73" s="69">
        <v>813</v>
      </c>
      <c r="F73" s="16">
        <f t="shared" si="29"/>
        <v>11.359499999999999</v>
      </c>
    </row>
    <row r="74" spans="2:8">
      <c r="B74" s="22" t="s">
        <v>84</v>
      </c>
      <c r="C74" s="70"/>
      <c r="D74" s="69">
        <v>9</v>
      </c>
      <c r="E74" s="69">
        <v>537</v>
      </c>
      <c r="F74" s="16">
        <f t="shared" si="29"/>
        <v>7.688699999999999</v>
      </c>
    </row>
    <row r="75" spans="2:8">
      <c r="B75" s="22" t="s">
        <v>85</v>
      </c>
      <c r="C75" s="70"/>
      <c r="D75" s="69">
        <v>30</v>
      </c>
      <c r="E75" s="69">
        <v>204</v>
      </c>
      <c r="F75" s="16">
        <f t="shared" si="29"/>
        <v>3.2598000000000003</v>
      </c>
    </row>
    <row r="76" spans="2:8">
      <c r="B76" s="22" t="s">
        <v>86</v>
      </c>
      <c r="C76" s="70"/>
      <c r="D76" s="69">
        <v>116</v>
      </c>
      <c r="E76" s="69">
        <v>87</v>
      </c>
      <c r="F76" s="16">
        <f t="shared" si="29"/>
        <v>1.7037</v>
      </c>
    </row>
    <row r="77" spans="2:8">
      <c r="B77" s="22" t="s">
        <v>87</v>
      </c>
      <c r="C77" s="70"/>
      <c r="D77" s="69">
        <v>284</v>
      </c>
      <c r="E77" s="69">
        <v>3</v>
      </c>
      <c r="F77" s="16">
        <f t="shared" si="29"/>
        <v>0.58650000000000002</v>
      </c>
    </row>
    <row r="78" spans="2:8">
      <c r="B78" s="51" t="s">
        <v>76</v>
      </c>
      <c r="C78" s="51"/>
      <c r="D78" s="68">
        <v>193</v>
      </c>
      <c r="E78" s="68">
        <v>5</v>
      </c>
      <c r="F78" s="43">
        <f t="shared" si="29"/>
        <v>0.61309999999999998</v>
      </c>
    </row>
    <row r="79" spans="2:8">
      <c r="F79" s="16">
        <f>SUM(F67:F78)</f>
        <v>83.11399999999999</v>
      </c>
      <c r="G79" s="16">
        <f>F79+N57</f>
        <v>94.32229199999999</v>
      </c>
      <c r="H79" s="16">
        <f>F79*'Energy Use'!$E$5+N57*'Energy Use'!$E$4</f>
        <v>124.45605327999998</v>
      </c>
    </row>
  </sheetData>
  <mergeCells count="3">
    <mergeCell ref="J5:K5"/>
    <mergeCell ref="J35:K35"/>
    <mergeCell ref="C63:E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64"/>
  <sheetViews>
    <sheetView workbookViewId="0">
      <selection activeCell="T27" sqref="T27"/>
    </sheetView>
  </sheetViews>
  <sheetFormatPr defaultRowHeight="15"/>
  <cols>
    <col min="4" max="4" width="10.42578125" bestFit="1" customWidth="1"/>
    <col min="15" max="15" width="10.5703125" customWidth="1"/>
    <col min="16" max="16" width="10.28515625" customWidth="1"/>
    <col min="17" max="17" width="11" customWidth="1"/>
    <col min="18" max="18" width="10.5703125" customWidth="1"/>
  </cols>
  <sheetData>
    <row r="2" spans="1:20">
      <c r="B2" s="11" t="s">
        <v>35</v>
      </c>
      <c r="D2" s="11"/>
      <c r="E2" s="13"/>
    </row>
    <row r="3" spans="1:20">
      <c r="B3" s="11" t="s">
        <v>36</v>
      </c>
    </row>
    <row r="4" spans="1:20">
      <c r="D4" s="11" t="s">
        <v>39</v>
      </c>
      <c r="Q4" s="52">
        <v>40407</v>
      </c>
      <c r="R4" s="52">
        <v>40438</v>
      </c>
      <c r="S4" s="53">
        <v>31</v>
      </c>
      <c r="T4" s="53">
        <v>12</v>
      </c>
    </row>
    <row r="5" spans="1:20">
      <c r="B5" s="11"/>
      <c r="C5" t="s">
        <v>0</v>
      </c>
      <c r="D5" t="s">
        <v>1</v>
      </c>
      <c r="Q5" s="52">
        <v>40438</v>
      </c>
      <c r="R5" s="52">
        <v>40469</v>
      </c>
      <c r="S5" s="53">
        <v>31</v>
      </c>
      <c r="T5" s="53">
        <v>27</v>
      </c>
    </row>
    <row r="6" spans="1:20" s="11" customFormat="1">
      <c r="A6" s="1">
        <v>40390</v>
      </c>
      <c r="C6" s="16"/>
      <c r="D6" s="2">
        <f>HDD!B18</f>
        <v>3</v>
      </c>
      <c r="Q6" s="52">
        <v>40469</v>
      </c>
      <c r="R6" s="52">
        <v>40497</v>
      </c>
      <c r="S6" s="53">
        <v>28</v>
      </c>
      <c r="T6" s="53">
        <v>64</v>
      </c>
    </row>
    <row r="7" spans="1:20" s="11" customFormat="1">
      <c r="A7" s="1">
        <v>40421</v>
      </c>
      <c r="C7" s="16"/>
      <c r="D7" s="2">
        <f>HDD!B19</f>
        <v>10</v>
      </c>
      <c r="Q7" s="52">
        <v>40497</v>
      </c>
      <c r="R7" s="52">
        <v>40527</v>
      </c>
      <c r="S7" s="53">
        <v>30</v>
      </c>
      <c r="T7" s="53">
        <v>113</v>
      </c>
    </row>
    <row r="8" spans="1:20" s="11" customFormat="1">
      <c r="A8" s="1">
        <v>40451</v>
      </c>
      <c r="C8" s="22">
        <v>12</v>
      </c>
      <c r="D8" s="2">
        <f>HDD!B20</f>
        <v>55</v>
      </c>
      <c r="Q8" s="52">
        <v>40527</v>
      </c>
      <c r="R8" s="52">
        <v>40562</v>
      </c>
      <c r="S8" s="53">
        <v>35</v>
      </c>
      <c r="T8" s="53">
        <v>175</v>
      </c>
    </row>
    <row r="9" spans="1:20" s="11" customFormat="1">
      <c r="A9" s="1">
        <v>40482</v>
      </c>
      <c r="C9" s="22">
        <v>27</v>
      </c>
      <c r="D9" s="2">
        <f>HDD!B21</f>
        <v>320</v>
      </c>
      <c r="Q9" s="52">
        <v>40562</v>
      </c>
      <c r="R9" s="52">
        <v>40589</v>
      </c>
      <c r="S9" s="53">
        <v>27</v>
      </c>
      <c r="T9" s="53">
        <v>148</v>
      </c>
    </row>
    <row r="10" spans="1:20" s="11" customFormat="1">
      <c r="A10" s="1">
        <v>40512</v>
      </c>
      <c r="C10" s="22">
        <v>64</v>
      </c>
      <c r="D10" s="2">
        <f>HDD!B22</f>
        <v>608</v>
      </c>
      <c r="Q10" s="52">
        <v>40589</v>
      </c>
      <c r="R10" s="52">
        <v>40620</v>
      </c>
      <c r="S10" s="53">
        <v>31</v>
      </c>
      <c r="T10" s="53">
        <v>122</v>
      </c>
    </row>
    <row r="11" spans="1:20">
      <c r="A11" s="1">
        <v>40543</v>
      </c>
      <c r="B11" s="19"/>
      <c r="C11" s="22">
        <v>113</v>
      </c>
      <c r="D11" s="2">
        <f>HDD!B23</f>
        <v>1010</v>
      </c>
      <c r="Q11" s="52">
        <v>40620</v>
      </c>
      <c r="R11" s="52">
        <v>40653</v>
      </c>
      <c r="S11" s="53">
        <v>33</v>
      </c>
      <c r="T11" s="53">
        <v>96</v>
      </c>
    </row>
    <row r="12" spans="1:20">
      <c r="A12" s="1">
        <v>40574</v>
      </c>
      <c r="B12" s="19"/>
      <c r="C12" s="22">
        <v>175</v>
      </c>
      <c r="D12" s="2">
        <f>HDD!B24</f>
        <v>1154</v>
      </c>
      <c r="Q12" s="52">
        <v>40653</v>
      </c>
      <c r="R12" s="52">
        <v>40680</v>
      </c>
      <c r="S12" s="53">
        <v>27</v>
      </c>
      <c r="T12" s="53">
        <v>34</v>
      </c>
    </row>
    <row r="13" spans="1:20">
      <c r="A13" s="1">
        <v>40602</v>
      </c>
      <c r="B13" s="19"/>
      <c r="C13" s="22">
        <v>148</v>
      </c>
      <c r="D13" s="2">
        <f>HDD!B25</f>
        <v>964</v>
      </c>
      <c r="Q13" s="52">
        <v>40680</v>
      </c>
      <c r="R13" s="52">
        <v>40709</v>
      </c>
      <c r="S13" s="53">
        <v>29</v>
      </c>
      <c r="T13" s="53">
        <v>18</v>
      </c>
    </row>
    <row r="14" spans="1:20">
      <c r="A14" s="1">
        <v>40633</v>
      </c>
      <c r="B14" s="19"/>
      <c r="C14" s="22">
        <v>122</v>
      </c>
      <c r="D14" s="2">
        <f>HDD!B26</f>
        <v>813</v>
      </c>
      <c r="Q14" s="52">
        <v>40709</v>
      </c>
      <c r="R14" s="52">
        <v>40744</v>
      </c>
      <c r="S14" s="53">
        <v>35</v>
      </c>
      <c r="T14" s="53">
        <v>15</v>
      </c>
    </row>
    <row r="15" spans="1:20">
      <c r="A15" s="1">
        <v>40663</v>
      </c>
      <c r="B15" s="19"/>
      <c r="C15" s="22">
        <v>96</v>
      </c>
      <c r="D15" s="2">
        <f>HDD!B27</f>
        <v>468</v>
      </c>
      <c r="Q15" s="52">
        <v>40744</v>
      </c>
      <c r="R15" s="52">
        <v>40772</v>
      </c>
      <c r="S15" s="53">
        <v>28</v>
      </c>
      <c r="T15" s="53">
        <v>11</v>
      </c>
    </row>
    <row r="16" spans="1:20">
      <c r="A16" s="1">
        <v>40694</v>
      </c>
      <c r="B16" s="19"/>
      <c r="C16" s="22">
        <v>34</v>
      </c>
      <c r="D16" s="2">
        <f>HDD!B28</f>
        <v>255</v>
      </c>
      <c r="Q16" s="52">
        <v>40772</v>
      </c>
      <c r="R16" s="52">
        <v>40805</v>
      </c>
      <c r="S16" s="53">
        <v>33</v>
      </c>
      <c r="T16" s="53">
        <v>10</v>
      </c>
    </row>
    <row r="17" spans="1:20">
      <c r="A17" s="1">
        <v>40724</v>
      </c>
      <c r="B17" s="19"/>
      <c r="C17" s="22">
        <v>18</v>
      </c>
      <c r="D17" s="2">
        <f>HDD!B29</f>
        <v>75</v>
      </c>
      <c r="Q17" s="52">
        <v>40805</v>
      </c>
      <c r="R17" s="52">
        <v>40835</v>
      </c>
      <c r="S17" s="53">
        <v>30</v>
      </c>
      <c r="T17" s="53">
        <v>14</v>
      </c>
    </row>
    <row r="18" spans="1:20">
      <c r="A18" s="1">
        <v>40755</v>
      </c>
      <c r="B18" s="19"/>
      <c r="C18" s="22">
        <v>15</v>
      </c>
      <c r="D18" s="2">
        <f>HDD!B30</f>
        <v>0</v>
      </c>
      <c r="Q18" s="52">
        <v>40835</v>
      </c>
      <c r="R18" s="52">
        <v>40864</v>
      </c>
      <c r="S18" s="53">
        <v>29</v>
      </c>
      <c r="T18" s="53">
        <v>41</v>
      </c>
    </row>
    <row r="19" spans="1:20">
      <c r="A19" s="1">
        <v>40786</v>
      </c>
      <c r="B19" s="19"/>
      <c r="C19" s="22">
        <v>11</v>
      </c>
      <c r="D19" s="2">
        <f>HDD!B31</f>
        <v>2</v>
      </c>
      <c r="Q19" s="52">
        <v>40864</v>
      </c>
      <c r="R19" s="52">
        <v>40892</v>
      </c>
      <c r="S19" s="53">
        <v>28</v>
      </c>
      <c r="T19" s="53">
        <v>49</v>
      </c>
    </row>
    <row r="20" spans="1:20">
      <c r="A20" s="1">
        <v>40816</v>
      </c>
      <c r="B20" s="19"/>
      <c r="C20" s="22">
        <v>10</v>
      </c>
      <c r="D20" s="2">
        <f>HDD!B32</f>
        <v>57</v>
      </c>
      <c r="Q20" s="52">
        <v>40892</v>
      </c>
      <c r="R20" s="52">
        <v>40925</v>
      </c>
      <c r="S20" s="53">
        <v>33</v>
      </c>
      <c r="T20" s="53">
        <v>77</v>
      </c>
    </row>
    <row r="21" spans="1:20">
      <c r="A21" s="1">
        <v>40847</v>
      </c>
      <c r="B21" s="19"/>
      <c r="C21" s="22">
        <v>14</v>
      </c>
      <c r="D21" s="2">
        <f>HDD!B33</f>
        <v>267</v>
      </c>
      <c r="Q21" s="52">
        <v>40925</v>
      </c>
      <c r="R21" s="52">
        <v>40954</v>
      </c>
      <c r="S21" s="53">
        <v>29</v>
      </c>
      <c r="T21" s="53">
        <v>68</v>
      </c>
    </row>
    <row r="22" spans="1:20">
      <c r="A22" s="1">
        <v>40877</v>
      </c>
      <c r="B22" s="19"/>
      <c r="C22" s="22">
        <v>41</v>
      </c>
      <c r="D22" s="2">
        <f>HDD!B34</f>
        <v>449</v>
      </c>
      <c r="Q22" s="52">
        <v>40954</v>
      </c>
      <c r="R22" s="52">
        <v>40984</v>
      </c>
      <c r="S22" s="53">
        <v>30</v>
      </c>
      <c r="T22" s="53">
        <v>59</v>
      </c>
    </row>
    <row r="23" spans="1:20">
      <c r="A23" s="1">
        <v>40908</v>
      </c>
      <c r="B23" s="19"/>
      <c r="C23" s="22">
        <v>49</v>
      </c>
      <c r="D23" s="2">
        <f>HDD!B35</f>
        <v>764</v>
      </c>
      <c r="Q23" s="52">
        <v>40984</v>
      </c>
      <c r="R23" s="52">
        <v>41017</v>
      </c>
      <c r="S23" s="53">
        <v>33</v>
      </c>
      <c r="T23" s="53">
        <v>40</v>
      </c>
    </row>
    <row r="24" spans="1:20">
      <c r="A24" s="1">
        <v>40939</v>
      </c>
      <c r="B24" s="19"/>
      <c r="C24" s="22">
        <v>77</v>
      </c>
      <c r="D24" s="2">
        <f>HDD!B36</f>
        <v>959</v>
      </c>
      <c r="Q24" s="52">
        <v>41017</v>
      </c>
      <c r="R24" s="52">
        <v>41046</v>
      </c>
      <c r="S24" s="53">
        <v>29</v>
      </c>
      <c r="T24" s="53">
        <v>21</v>
      </c>
    </row>
    <row r="25" spans="1:20">
      <c r="A25" s="1">
        <v>40968</v>
      </c>
      <c r="B25" s="19"/>
      <c r="C25" s="22">
        <v>68</v>
      </c>
      <c r="D25" s="2">
        <f>HDD!B37</f>
        <v>801</v>
      </c>
      <c r="Q25" s="52">
        <v>41046</v>
      </c>
      <c r="R25" s="52">
        <v>41078</v>
      </c>
      <c r="S25" s="53">
        <v>32</v>
      </c>
      <c r="T25" s="53">
        <v>17</v>
      </c>
    </row>
    <row r="26" spans="1:20">
      <c r="A26" s="1">
        <v>40999</v>
      </c>
      <c r="B26" s="19"/>
      <c r="C26" s="3">
        <v>59</v>
      </c>
      <c r="D26" s="2">
        <f>HDD!B38</f>
        <v>608</v>
      </c>
      <c r="Q26" s="52">
        <v>41078</v>
      </c>
      <c r="R26" s="52">
        <v>41107</v>
      </c>
      <c r="S26" s="53">
        <v>29</v>
      </c>
      <c r="T26" s="53">
        <v>14</v>
      </c>
    </row>
    <row r="27" spans="1:20">
      <c r="A27" s="1">
        <v>41029</v>
      </c>
      <c r="B27" s="19"/>
      <c r="C27" s="11">
        <v>40</v>
      </c>
      <c r="D27" s="2">
        <f>HDD!B39</f>
        <v>398</v>
      </c>
      <c r="Q27" s="52">
        <v>41107</v>
      </c>
      <c r="R27" s="52">
        <v>41138</v>
      </c>
      <c r="S27" s="53">
        <v>31</v>
      </c>
      <c r="T27" s="53">
        <v>9</v>
      </c>
    </row>
    <row r="28" spans="1:20">
      <c r="A28" s="1">
        <v>41060</v>
      </c>
      <c r="B28" s="19"/>
      <c r="C28" s="11">
        <v>21</v>
      </c>
      <c r="D28" s="2">
        <f>HDD!B40</f>
        <v>204</v>
      </c>
    </row>
    <row r="29" spans="1:20">
      <c r="A29" s="1">
        <v>41090</v>
      </c>
      <c r="B29" s="19"/>
      <c r="C29" s="11">
        <v>17</v>
      </c>
      <c r="D29" s="2">
        <f>HDD!B41</f>
        <v>94</v>
      </c>
    </row>
    <row r="30" spans="1:20">
      <c r="A30" s="1">
        <v>41121</v>
      </c>
      <c r="B30" s="19"/>
      <c r="C30" s="11">
        <v>14</v>
      </c>
      <c r="D30" s="2">
        <f>HDD!B42</f>
        <v>2</v>
      </c>
    </row>
    <row r="31" spans="1:20">
      <c r="A31" s="1">
        <v>41152</v>
      </c>
      <c r="B31" s="19"/>
      <c r="C31" s="11">
        <v>9</v>
      </c>
      <c r="D31" s="2">
        <f>HDD!B43</f>
        <v>0</v>
      </c>
    </row>
    <row r="32" spans="1:20">
      <c r="B32" s="19"/>
      <c r="C32" s="16"/>
      <c r="D32" s="2">
        <f>HDD!B44</f>
        <v>0</v>
      </c>
    </row>
    <row r="62" spans="1:1">
      <c r="A62" s="1"/>
    </row>
    <row r="63" spans="1:1">
      <c r="A63" s="1"/>
    </row>
    <row r="64" spans="1:1">
      <c r="A64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3" workbookViewId="0">
      <selection activeCell="D9" sqref="D9"/>
    </sheetView>
  </sheetViews>
  <sheetFormatPr defaultRowHeight="15"/>
  <cols>
    <col min="1" max="1" width="10.42578125" bestFit="1" customWidth="1"/>
    <col min="2" max="2" width="9.85546875" customWidth="1"/>
    <col min="4" max="4" width="15.28515625" customWidth="1"/>
    <col min="5" max="5" width="11.42578125" customWidth="1"/>
  </cols>
  <sheetData>
    <row r="1" spans="1:8">
      <c r="B1" s="11"/>
    </row>
    <row r="3" spans="1:8">
      <c r="B3" s="11" t="s">
        <v>40</v>
      </c>
    </row>
    <row r="4" spans="1:8">
      <c r="B4" s="82" t="s">
        <v>2</v>
      </c>
      <c r="C4" s="82"/>
      <c r="E4" t="s">
        <v>3</v>
      </c>
    </row>
    <row r="5" spans="1:8">
      <c r="B5" s="11" t="s">
        <v>34</v>
      </c>
      <c r="C5" s="11"/>
      <c r="D5" t="s">
        <v>4</v>
      </c>
      <c r="E5" t="s">
        <v>5</v>
      </c>
      <c r="F5" t="s">
        <v>1</v>
      </c>
      <c r="G5" t="s">
        <v>6</v>
      </c>
    </row>
    <row r="6" spans="1:8" s="11" customFormat="1">
      <c r="A6" s="11" t="s">
        <v>15</v>
      </c>
    </row>
    <row r="7" spans="1:8" s="11" customFormat="1"/>
    <row r="8" spans="1:8" s="11" customFormat="1">
      <c r="A8" s="1">
        <v>40360</v>
      </c>
      <c r="B8" s="21"/>
      <c r="D8" s="21">
        <f t="shared" ref="D8:D10" si="0">SUM(B8+C8-E8)</f>
        <v>0</v>
      </c>
      <c r="F8" s="11">
        <f>HDD!B18</f>
        <v>3</v>
      </c>
      <c r="G8" s="11">
        <f>CDD!B9</f>
        <v>365</v>
      </c>
    </row>
    <row r="9" spans="1:8" s="11" customFormat="1">
      <c r="A9" s="1">
        <v>40391</v>
      </c>
      <c r="B9" s="11">
        <v>201</v>
      </c>
      <c r="D9" s="21">
        <f t="shared" si="0"/>
        <v>201</v>
      </c>
      <c r="F9" s="11">
        <f>HDD!B19</f>
        <v>10</v>
      </c>
      <c r="G9" s="11">
        <f>CDD!B10</f>
        <v>263</v>
      </c>
    </row>
    <row r="10" spans="1:8" s="11" customFormat="1">
      <c r="A10" s="1">
        <v>40422</v>
      </c>
      <c r="B10" s="11">
        <v>247</v>
      </c>
      <c r="D10" s="21">
        <f t="shared" si="0"/>
        <v>247</v>
      </c>
      <c r="F10" s="11">
        <f>HDD!B20</f>
        <v>55</v>
      </c>
      <c r="G10" s="11">
        <f>CDD!B11</f>
        <v>151</v>
      </c>
    </row>
    <row r="11" spans="1:8" s="11" customFormat="1">
      <c r="A11" s="1">
        <v>40452</v>
      </c>
      <c r="B11" s="11">
        <v>266</v>
      </c>
      <c r="D11" s="21">
        <f>SUM(B11+C11-E11)</f>
        <v>266</v>
      </c>
      <c r="F11" s="11">
        <f>HDD!B21</f>
        <v>320</v>
      </c>
      <c r="G11" s="11">
        <f>CDD!B12</f>
        <v>18</v>
      </c>
    </row>
    <row r="12" spans="1:8" s="11" customFormat="1">
      <c r="A12" s="1">
        <v>40483</v>
      </c>
      <c r="B12" s="11">
        <v>344</v>
      </c>
      <c r="D12" s="21">
        <f t="shared" ref="D12:D33" si="1">SUM(B12+C12-E12)</f>
        <v>344</v>
      </c>
      <c r="F12" s="11">
        <f>HDD!B22</f>
        <v>608</v>
      </c>
      <c r="G12" s="11">
        <f>CDD!B13</f>
        <v>0</v>
      </c>
    </row>
    <row r="13" spans="1:8">
      <c r="A13" s="1">
        <v>40513</v>
      </c>
      <c r="B13" s="11">
        <v>388</v>
      </c>
      <c r="D13" s="21">
        <f t="shared" si="1"/>
        <v>388</v>
      </c>
      <c r="F13" s="11">
        <f>HDD!B23</f>
        <v>1010</v>
      </c>
      <c r="G13" s="11">
        <f>CDD!B14</f>
        <v>0</v>
      </c>
    </row>
    <row r="14" spans="1:8">
      <c r="A14" s="1">
        <v>40544</v>
      </c>
      <c r="B14" s="19">
        <v>342</v>
      </c>
      <c r="C14" s="19"/>
      <c r="D14" s="21">
        <f t="shared" si="1"/>
        <v>342</v>
      </c>
      <c r="E14" s="19"/>
      <c r="F14" s="11">
        <f>HDD!B24</f>
        <v>1154</v>
      </c>
      <c r="G14" s="11">
        <f>CDD!B15</f>
        <v>0</v>
      </c>
    </row>
    <row r="15" spans="1:8">
      <c r="A15" s="1">
        <v>40575</v>
      </c>
      <c r="B15" s="19">
        <v>303</v>
      </c>
      <c r="C15" s="19"/>
      <c r="D15" s="21">
        <f t="shared" si="1"/>
        <v>303</v>
      </c>
      <c r="E15" s="19"/>
      <c r="F15" s="11">
        <f>HDD!B25</f>
        <v>964</v>
      </c>
      <c r="G15" s="11">
        <f>CDD!B16</f>
        <v>0</v>
      </c>
    </row>
    <row r="16" spans="1:8">
      <c r="A16" s="1">
        <v>40603</v>
      </c>
      <c r="B16" s="19">
        <v>295</v>
      </c>
      <c r="C16" s="19"/>
      <c r="D16" s="21">
        <f t="shared" si="1"/>
        <v>295</v>
      </c>
      <c r="E16" s="19"/>
      <c r="F16" s="11">
        <f>HDD!B26</f>
        <v>813</v>
      </c>
      <c r="G16" s="11">
        <f>CDD!B17</f>
        <v>1</v>
      </c>
      <c r="H16" s="11" t="s">
        <v>41</v>
      </c>
    </row>
    <row r="17" spans="1:8">
      <c r="A17" s="1">
        <v>40634</v>
      </c>
      <c r="B17" s="19">
        <v>301</v>
      </c>
      <c r="C17" s="19"/>
      <c r="D17" s="21">
        <f t="shared" si="1"/>
        <v>301</v>
      </c>
      <c r="E17" s="19"/>
      <c r="F17" s="11">
        <f>HDD!B27</f>
        <v>468</v>
      </c>
      <c r="G17" s="11">
        <f>CDD!B18</f>
        <v>8</v>
      </c>
    </row>
    <row r="18" spans="1:8">
      <c r="A18" s="1">
        <v>40664</v>
      </c>
      <c r="B18" s="19">
        <v>334</v>
      </c>
      <c r="C18" s="19"/>
      <c r="D18" s="21">
        <f t="shared" si="1"/>
        <v>334</v>
      </c>
      <c r="E18" s="19"/>
      <c r="F18" s="11">
        <f>HDD!B28</f>
        <v>255</v>
      </c>
      <c r="G18" s="11">
        <f>CDD!B19</f>
        <v>50</v>
      </c>
    </row>
    <row r="19" spans="1:8">
      <c r="A19" s="1">
        <v>40695</v>
      </c>
      <c r="B19" s="19">
        <v>315</v>
      </c>
      <c r="C19" s="19"/>
      <c r="D19" s="21">
        <f t="shared" si="1"/>
        <v>315</v>
      </c>
      <c r="E19" s="19"/>
      <c r="F19" s="11">
        <f>HDD!B29</f>
        <v>75</v>
      </c>
      <c r="G19" s="11">
        <f>CDD!B20</f>
        <v>130</v>
      </c>
    </row>
    <row r="20" spans="1:8">
      <c r="A20" s="1">
        <v>40725</v>
      </c>
      <c r="B20" s="19">
        <v>276</v>
      </c>
      <c r="C20" s="19"/>
      <c r="D20" s="21">
        <f t="shared" si="1"/>
        <v>276</v>
      </c>
      <c r="E20" s="19"/>
      <c r="F20" s="11">
        <f>HDD!B30</f>
        <v>0</v>
      </c>
      <c r="G20" s="11">
        <f>CDD!B21</f>
        <v>374</v>
      </c>
    </row>
    <row r="21" spans="1:8">
      <c r="A21" s="1">
        <v>40756</v>
      </c>
      <c r="B21" s="19">
        <v>320</v>
      </c>
      <c r="C21" s="19"/>
      <c r="D21" s="21">
        <f t="shared" si="1"/>
        <v>320</v>
      </c>
      <c r="E21" s="19"/>
      <c r="F21" s="11">
        <f>HDD!B31</f>
        <v>2</v>
      </c>
      <c r="G21" s="11">
        <f>CDD!B22</f>
        <v>260</v>
      </c>
    </row>
    <row r="22" spans="1:8">
      <c r="A22" s="1">
        <v>40787</v>
      </c>
      <c r="B22" s="19">
        <v>344</v>
      </c>
      <c r="C22" s="19"/>
      <c r="D22" s="21">
        <f t="shared" si="1"/>
        <v>344</v>
      </c>
      <c r="E22" s="19"/>
      <c r="F22" s="11">
        <f>HDD!B32</f>
        <v>57</v>
      </c>
      <c r="G22" s="11">
        <f>CDD!B23</f>
        <v>115</v>
      </c>
    </row>
    <row r="23" spans="1:8">
      <c r="A23" s="1">
        <v>40817</v>
      </c>
      <c r="B23" s="19">
        <v>430</v>
      </c>
      <c r="C23" s="19"/>
      <c r="D23" s="21">
        <f t="shared" si="1"/>
        <v>430</v>
      </c>
      <c r="E23" s="19"/>
      <c r="F23" s="11">
        <f>HDD!B33</f>
        <v>267</v>
      </c>
      <c r="G23" s="11">
        <f>CDD!B24</f>
        <v>29</v>
      </c>
    </row>
    <row r="24" spans="1:8">
      <c r="A24" s="1">
        <v>40848</v>
      </c>
      <c r="B24" s="19">
        <v>407</v>
      </c>
      <c r="C24" s="19"/>
      <c r="D24" s="21">
        <f t="shared" si="1"/>
        <v>407</v>
      </c>
      <c r="E24" s="19"/>
      <c r="F24" s="11">
        <f>HDD!B34</f>
        <v>449</v>
      </c>
      <c r="G24" s="11">
        <f>CDD!B25</f>
        <v>1</v>
      </c>
    </row>
    <row r="25" spans="1:8">
      <c r="A25" s="1">
        <v>40878</v>
      </c>
      <c r="B25" s="19">
        <v>359</v>
      </c>
      <c r="C25" s="19"/>
      <c r="D25" s="21">
        <f t="shared" si="1"/>
        <v>359</v>
      </c>
      <c r="E25" s="19"/>
      <c r="F25" s="11">
        <f>HDD!B35</f>
        <v>764</v>
      </c>
      <c r="G25" s="11">
        <f>CDD!B26</f>
        <v>0</v>
      </c>
      <c r="H25" s="11" t="s">
        <v>33</v>
      </c>
    </row>
    <row r="26" spans="1:8">
      <c r="A26" s="1">
        <v>40909</v>
      </c>
      <c r="B26" s="19">
        <v>321</v>
      </c>
      <c r="C26" s="19"/>
      <c r="D26" s="21">
        <f t="shared" si="1"/>
        <v>321</v>
      </c>
      <c r="E26" s="19"/>
      <c r="F26" s="11">
        <f>HDD!B36</f>
        <v>959</v>
      </c>
      <c r="G26" s="11">
        <f>CDD!B27</f>
        <v>0</v>
      </c>
    </row>
    <row r="27" spans="1:8">
      <c r="A27" s="1">
        <v>40940</v>
      </c>
      <c r="B27" s="19">
        <v>340</v>
      </c>
      <c r="C27" s="19"/>
      <c r="D27" s="21">
        <f t="shared" si="1"/>
        <v>340</v>
      </c>
      <c r="E27" s="19"/>
      <c r="F27" s="11">
        <f>HDD!B37</f>
        <v>801</v>
      </c>
      <c r="G27" s="11">
        <f>CDD!B28</f>
        <v>0</v>
      </c>
    </row>
    <row r="28" spans="1:8">
      <c r="A28" s="1">
        <v>40969</v>
      </c>
      <c r="B28" s="19">
        <v>266</v>
      </c>
      <c r="C28" s="19"/>
      <c r="D28" s="21">
        <f t="shared" si="1"/>
        <v>266</v>
      </c>
      <c r="E28" s="19"/>
      <c r="F28" s="11">
        <f>HDD!B38</f>
        <v>608</v>
      </c>
      <c r="G28" s="11">
        <f>CDD!B29</f>
        <v>18</v>
      </c>
    </row>
    <row r="29" spans="1:8">
      <c r="A29" s="1">
        <v>41000</v>
      </c>
      <c r="B29" s="19">
        <v>255</v>
      </c>
      <c r="C29" s="19"/>
      <c r="D29" s="21">
        <f t="shared" si="1"/>
        <v>255</v>
      </c>
      <c r="E29" s="19"/>
      <c r="F29" s="11">
        <f>HDD!B39</f>
        <v>398</v>
      </c>
      <c r="G29" s="11">
        <f>CDD!B30</f>
        <v>25</v>
      </c>
    </row>
    <row r="30" spans="1:8">
      <c r="A30" s="1">
        <v>41030</v>
      </c>
      <c r="B30" s="19">
        <v>307</v>
      </c>
      <c r="C30" s="19"/>
      <c r="D30" s="21">
        <f t="shared" si="1"/>
        <v>307</v>
      </c>
      <c r="E30" s="19"/>
      <c r="F30" s="11">
        <f>HDD!B40</f>
        <v>204</v>
      </c>
      <c r="G30" s="11">
        <f>CDD!B31</f>
        <v>42</v>
      </c>
    </row>
    <row r="31" spans="1:8">
      <c r="A31" s="1">
        <v>41061</v>
      </c>
      <c r="B31" s="19">
        <v>315</v>
      </c>
      <c r="C31" s="19"/>
      <c r="D31" s="21">
        <f t="shared" si="1"/>
        <v>315</v>
      </c>
      <c r="E31" s="19"/>
      <c r="F31" s="11">
        <f>HDD!B41</f>
        <v>94</v>
      </c>
      <c r="G31" s="11">
        <f>CDD!B32</f>
        <v>142</v>
      </c>
      <c r="H31" s="11"/>
    </row>
    <row r="32" spans="1:8">
      <c r="A32" s="1">
        <v>41091</v>
      </c>
      <c r="B32" s="19">
        <v>315</v>
      </c>
      <c r="C32" s="3"/>
      <c r="D32" s="21">
        <f t="shared" si="1"/>
        <v>315</v>
      </c>
      <c r="E32" s="3"/>
      <c r="F32" s="11">
        <f>HDD!B42</f>
        <v>2</v>
      </c>
      <c r="G32" s="11">
        <f>CDD!B33</f>
        <v>304</v>
      </c>
    </row>
    <row r="33" spans="1:7">
      <c r="A33" s="1">
        <v>41122</v>
      </c>
      <c r="B33" s="22"/>
      <c r="C33" s="3"/>
      <c r="D33" s="21">
        <f t="shared" si="1"/>
        <v>0</v>
      </c>
      <c r="E33" s="3"/>
      <c r="F33" s="11">
        <f>HDD!B43</f>
        <v>0</v>
      </c>
      <c r="G33" s="11">
        <f>CDD!B34</f>
        <v>0</v>
      </c>
    </row>
    <row r="42" spans="1:7" s="11" customFormat="1"/>
    <row r="43" spans="1:7" s="11" customFormat="1"/>
    <row r="44" spans="1:7" s="11" customFormat="1"/>
    <row r="45" spans="1:7" s="11" customFormat="1"/>
    <row r="46" spans="1:7" s="11" customFormat="1"/>
    <row r="47" spans="1:7" s="11" customFormat="1"/>
    <row r="48" spans="1:7" s="11" customFormat="1"/>
    <row r="49" spans="1:1" s="11" customFormat="1"/>
    <row r="50" spans="1:1" s="11" customFormat="1"/>
    <row r="51" spans="1:1" s="11" customFormat="1"/>
    <row r="52" spans="1:1" s="11" customFormat="1"/>
    <row r="53" spans="1:1" s="11" customFormat="1"/>
    <row r="54" spans="1:1" s="11" customFormat="1"/>
    <row r="55" spans="1:1" s="11" customFormat="1"/>
    <row r="56" spans="1:1" s="11" customFormat="1"/>
    <row r="57" spans="1:1" s="11" customFormat="1"/>
    <row r="58" spans="1:1" s="11" customFormat="1"/>
    <row r="59" spans="1:1">
      <c r="A59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9">
      <c r="A65" s="11"/>
    </row>
    <row r="66" spans="1:9">
      <c r="A66" s="11"/>
    </row>
    <row r="67" spans="1:9">
      <c r="A67" s="11"/>
    </row>
    <row r="68" spans="1:9">
      <c r="G68" s="16"/>
      <c r="I68" s="11"/>
    </row>
    <row r="69" spans="1:9">
      <c r="I69" s="11"/>
    </row>
    <row r="70" spans="1:9">
      <c r="I70" s="11"/>
    </row>
    <row r="71" spans="1:9">
      <c r="I71" s="11"/>
    </row>
    <row r="72" spans="1:9">
      <c r="I72" s="11"/>
    </row>
    <row r="73" spans="1:9">
      <c r="I73" s="11"/>
    </row>
    <row r="74" spans="1:9">
      <c r="I74" s="11"/>
    </row>
    <row r="75" spans="1:9">
      <c r="I75" s="11"/>
    </row>
    <row r="76" spans="1:9">
      <c r="I76" s="11"/>
    </row>
    <row r="77" spans="1:9">
      <c r="I77" s="11"/>
    </row>
    <row r="78" spans="1:9">
      <c r="I78" s="11"/>
    </row>
    <row r="79" spans="1:9">
      <c r="I79" s="11"/>
    </row>
    <row r="80" spans="1:9">
      <c r="I80" s="11"/>
    </row>
    <row r="81" spans="9:9">
      <c r="I81" s="11"/>
    </row>
    <row r="82" spans="9:9">
      <c r="I82" s="11"/>
    </row>
    <row r="83" spans="9:9">
      <c r="I83" s="11"/>
    </row>
    <row r="84" spans="9:9">
      <c r="I84" s="11"/>
    </row>
  </sheetData>
  <mergeCells count="1">
    <mergeCell ref="B4:C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0"/>
  <sheetViews>
    <sheetView tabSelected="1" workbookViewId="0">
      <selection activeCell="S32" sqref="S32"/>
    </sheetView>
  </sheetViews>
  <sheetFormatPr defaultRowHeight="15"/>
  <cols>
    <col min="8" max="9" width="9.140625" style="11"/>
    <col min="18" max="18" width="9.140625" style="11"/>
    <col min="25" max="25" width="9.140625" style="11"/>
  </cols>
  <sheetData>
    <row r="1" spans="2:27">
      <c r="C1" s="11" t="s">
        <v>26</v>
      </c>
      <c r="E1" s="16">
        <f>1/E3</f>
        <v>292.99736302373282</v>
      </c>
    </row>
    <row r="2" spans="2:27">
      <c r="C2" s="11" t="s">
        <v>23</v>
      </c>
      <c r="E2" s="14">
        <f>100000/1000000</f>
        <v>0.1</v>
      </c>
    </row>
    <row r="3" spans="2:27">
      <c r="C3" s="11" t="s">
        <v>22</v>
      </c>
      <c r="E3">
        <f>3413/1000000</f>
        <v>3.4129999999999998E-3</v>
      </c>
    </row>
    <row r="4" spans="2:27">
      <c r="B4" s="11" t="s">
        <v>25</v>
      </c>
      <c r="E4">
        <v>3.34</v>
      </c>
    </row>
    <row r="5" spans="2:27">
      <c r="B5" s="11" t="s">
        <v>24</v>
      </c>
      <c r="E5">
        <v>1.0469999999999999</v>
      </c>
    </row>
    <row r="6" spans="2:27">
      <c r="W6" s="11" t="s">
        <v>29</v>
      </c>
      <c r="Z6" s="11" t="s">
        <v>32</v>
      </c>
    </row>
    <row r="7" spans="2:27">
      <c r="J7" s="11"/>
      <c r="K7" s="82" t="s">
        <v>2</v>
      </c>
      <c r="L7" s="82"/>
      <c r="M7" s="11" t="s">
        <v>27</v>
      </c>
      <c r="N7" s="11"/>
      <c r="O7" s="11"/>
      <c r="P7" s="11" t="s">
        <v>28</v>
      </c>
      <c r="R7" s="11" t="s">
        <v>19</v>
      </c>
      <c r="S7" s="11" t="s">
        <v>20</v>
      </c>
    </row>
    <row r="8" spans="2:27">
      <c r="B8" s="11"/>
      <c r="C8" s="11" t="s">
        <v>0</v>
      </c>
      <c r="D8" s="11" t="s">
        <v>19</v>
      </c>
      <c r="E8" s="11" t="s">
        <v>20</v>
      </c>
      <c r="G8" s="11" t="s">
        <v>18</v>
      </c>
      <c r="H8" s="11" t="s">
        <v>21</v>
      </c>
      <c r="J8" s="11"/>
      <c r="K8" s="17" t="str">
        <f>Elec!B5</f>
        <v>House</v>
      </c>
      <c r="L8" s="18">
        <f>Elec!C5</f>
        <v>0</v>
      </c>
      <c r="M8" s="11" t="s">
        <v>4</v>
      </c>
      <c r="N8" s="11" t="s">
        <v>5</v>
      </c>
      <c r="T8" s="11" t="s">
        <v>1</v>
      </c>
      <c r="U8" s="11" t="s">
        <v>6</v>
      </c>
      <c r="W8" s="11" t="s">
        <v>30</v>
      </c>
      <c r="X8" s="11" t="s">
        <v>31</v>
      </c>
      <c r="Z8" s="11" t="s">
        <v>30</v>
      </c>
      <c r="AA8" s="11" t="s">
        <v>31</v>
      </c>
    </row>
    <row r="9" spans="2:27" s="11" customFormat="1"/>
    <row r="10" spans="2:27" s="11" customFormat="1">
      <c r="B10" s="1">
        <v>40452</v>
      </c>
      <c r="C10" s="29">
        <f>Gas!C9</f>
        <v>27</v>
      </c>
      <c r="D10" s="15">
        <f t="shared" ref="D10:D12" si="0">C10*E$2</f>
        <v>2.7</v>
      </c>
      <c r="E10" s="16">
        <f t="shared" ref="E10:E12" si="1">D10*E$5</f>
        <v>2.8269000000000002</v>
      </c>
      <c r="G10" s="16">
        <f t="shared" ref="G10:G12" si="2">D10*E$1</f>
        <v>791.09288016407868</v>
      </c>
      <c r="H10" s="16">
        <f t="shared" ref="H10:H12" si="3">E10*E$1</f>
        <v>828.27424553179037</v>
      </c>
      <c r="J10" s="1">
        <v>40452</v>
      </c>
      <c r="K10" s="54">
        <f>Elec!B11</f>
        <v>266</v>
      </c>
      <c r="L10" s="19">
        <f>Elec!C8</f>
        <v>0</v>
      </c>
      <c r="M10" s="16">
        <f>SUM(K10+L10+N10)</f>
        <v>266</v>
      </c>
      <c r="N10" s="19">
        <f>-(Elec!E8)</f>
        <v>0</v>
      </c>
      <c r="P10" s="16">
        <f t="shared" ref="P10:P12" si="4">((M10-N10)*E$4)+N10</f>
        <v>888.43999999999994</v>
      </c>
      <c r="R10" s="16">
        <f t="shared" ref="R10:R12" si="5">M10*E$3</f>
        <v>0.90785799999999994</v>
      </c>
      <c r="S10" s="16">
        <f t="shared" ref="S10:S12" si="6">((M10-N10)*E$4+N10)*E$3</f>
        <v>3.0322457199999997</v>
      </c>
      <c r="T10" s="11">
        <f>HDD!B20</f>
        <v>55</v>
      </c>
      <c r="U10" s="11">
        <f>CDD!B11</f>
        <v>151</v>
      </c>
      <c r="W10" s="16">
        <f t="shared" ref="W10:W12" si="7">G10+M10</f>
        <v>1057.0928801640787</v>
      </c>
      <c r="X10" s="16">
        <f t="shared" ref="X10:X12" si="8">H10+P10</f>
        <v>1716.7142455317903</v>
      </c>
      <c r="Y10" s="16"/>
      <c r="Z10" s="16">
        <f t="shared" ref="Z10:Z12" si="9">D10+R10</f>
        <v>3.6078580000000002</v>
      </c>
      <c r="AA10" s="16">
        <f t="shared" ref="AA10:AA12" si="10">E10+S10</f>
        <v>5.8591457199999999</v>
      </c>
    </row>
    <row r="11" spans="2:27" s="11" customFormat="1">
      <c r="B11" s="1">
        <v>40483</v>
      </c>
      <c r="C11" s="29">
        <f>Gas!C10</f>
        <v>64</v>
      </c>
      <c r="D11" s="15">
        <f t="shared" si="0"/>
        <v>6.4</v>
      </c>
      <c r="E11" s="16">
        <f t="shared" si="1"/>
        <v>6.7008000000000001</v>
      </c>
      <c r="G11" s="16">
        <f t="shared" si="2"/>
        <v>1875.1831233518901</v>
      </c>
      <c r="H11" s="16">
        <f t="shared" si="3"/>
        <v>1963.3167301494288</v>
      </c>
      <c r="J11" s="1">
        <v>40483</v>
      </c>
      <c r="K11" s="54">
        <f>Elec!B12</f>
        <v>344</v>
      </c>
      <c r="L11" s="19">
        <f>Elec!C12</f>
        <v>0</v>
      </c>
      <c r="M11" s="16">
        <f t="shared" ref="M11:M31" si="11">SUM(K11+L11+N11)</f>
        <v>344</v>
      </c>
      <c r="N11" s="19">
        <f>-(Elec!E12)</f>
        <v>0</v>
      </c>
      <c r="P11" s="16">
        <f t="shared" si="4"/>
        <v>1148.96</v>
      </c>
      <c r="R11" s="16">
        <f t="shared" si="5"/>
        <v>1.174072</v>
      </c>
      <c r="S11" s="16">
        <f t="shared" si="6"/>
        <v>3.92140048</v>
      </c>
      <c r="T11" s="11">
        <f>HDD!B21</f>
        <v>320</v>
      </c>
      <c r="U11" s="11">
        <f>CDD!B12</f>
        <v>18</v>
      </c>
      <c r="W11" s="16">
        <f t="shared" si="7"/>
        <v>2219.1831233518901</v>
      </c>
      <c r="X11" s="16">
        <f t="shared" si="8"/>
        <v>3112.2767301494287</v>
      </c>
      <c r="Y11" s="16"/>
      <c r="Z11" s="16">
        <f t="shared" si="9"/>
        <v>7.5740720000000001</v>
      </c>
      <c r="AA11" s="16">
        <f t="shared" si="10"/>
        <v>10.62220048</v>
      </c>
    </row>
    <row r="12" spans="2:27">
      <c r="B12" s="1">
        <v>40513</v>
      </c>
      <c r="C12" s="29">
        <f>Gas!C11</f>
        <v>113</v>
      </c>
      <c r="D12" s="15">
        <f t="shared" si="0"/>
        <v>11.3</v>
      </c>
      <c r="E12" s="16">
        <f t="shared" si="1"/>
        <v>11.831099999999999</v>
      </c>
      <c r="G12" s="16">
        <f t="shared" si="2"/>
        <v>3310.8702021681811</v>
      </c>
      <c r="H12" s="16">
        <f t="shared" si="3"/>
        <v>3466.4811016700851</v>
      </c>
      <c r="J12" s="1">
        <v>40513</v>
      </c>
      <c r="K12" s="54">
        <f>Elec!B13</f>
        <v>388</v>
      </c>
      <c r="L12" s="19">
        <f>Elec!C13</f>
        <v>0</v>
      </c>
      <c r="M12" s="16">
        <f t="shared" si="11"/>
        <v>388</v>
      </c>
      <c r="N12" s="19">
        <f>-(Elec!E13)</f>
        <v>0</v>
      </c>
      <c r="P12" s="16">
        <f t="shared" si="4"/>
        <v>1295.9199999999998</v>
      </c>
      <c r="Q12" s="11"/>
      <c r="R12" s="16">
        <f t="shared" si="5"/>
        <v>1.324244</v>
      </c>
      <c r="S12" s="16">
        <f t="shared" si="6"/>
        <v>4.4229749599999995</v>
      </c>
      <c r="T12" s="11">
        <f>HDD!B22</f>
        <v>608</v>
      </c>
      <c r="U12" s="11">
        <f>CDD!B13</f>
        <v>0</v>
      </c>
      <c r="V12" s="11"/>
      <c r="W12" s="16">
        <f t="shared" si="7"/>
        <v>3698.8702021681811</v>
      </c>
      <c r="X12" s="16">
        <f t="shared" si="8"/>
        <v>4762.4011016700852</v>
      </c>
      <c r="Y12" s="16"/>
      <c r="Z12" s="16">
        <f t="shared" si="9"/>
        <v>12.624244000000001</v>
      </c>
      <c r="AA12" s="16">
        <f t="shared" si="10"/>
        <v>16.254074959999997</v>
      </c>
    </row>
    <row r="13" spans="2:27">
      <c r="B13" s="1">
        <v>40544</v>
      </c>
      <c r="C13" s="29">
        <f>Gas!C12</f>
        <v>175</v>
      </c>
      <c r="D13" s="15">
        <f>C13*E$2</f>
        <v>17.5</v>
      </c>
      <c r="E13" s="16">
        <f t="shared" ref="E13:E31" si="12">D13*E$5</f>
        <v>18.322499999999998</v>
      </c>
      <c r="G13" s="16">
        <f t="shared" ref="G13:G31" si="13">D13*E$1</f>
        <v>5127.4538529153242</v>
      </c>
      <c r="H13" s="16">
        <f t="shared" ref="H13:H31" si="14">E13*E$1</f>
        <v>5368.4441840023437</v>
      </c>
      <c r="I13" s="16"/>
      <c r="J13" s="1">
        <v>40544</v>
      </c>
      <c r="K13" s="54">
        <f>Elec!B14</f>
        <v>342</v>
      </c>
      <c r="L13" s="19">
        <f>Elec!C14</f>
        <v>0</v>
      </c>
      <c r="M13" s="16">
        <f t="shared" si="11"/>
        <v>342</v>
      </c>
      <c r="N13" s="19">
        <f>-(Elec!E14)</f>
        <v>0</v>
      </c>
      <c r="P13" s="16">
        <f>((M13-N13)*E$4)+N13</f>
        <v>1142.28</v>
      </c>
      <c r="R13" s="16">
        <f>M13*E$3</f>
        <v>1.167246</v>
      </c>
      <c r="S13" s="16">
        <f>((M13-N13)*E$4+N13)*E$3</f>
        <v>3.8986016399999999</v>
      </c>
      <c r="T13" s="11">
        <f>HDD!B23</f>
        <v>1010</v>
      </c>
      <c r="U13" s="11">
        <f>CDD!B14</f>
        <v>0</v>
      </c>
      <c r="W13" s="16">
        <f>G13+M13</f>
        <v>5469.4538529153242</v>
      </c>
      <c r="X13" s="16">
        <f>H13+P13</f>
        <v>6510.7241840023435</v>
      </c>
      <c r="Y13" s="16"/>
      <c r="Z13" s="16">
        <f>D13+R13</f>
        <v>18.667245999999999</v>
      </c>
      <c r="AA13" s="16">
        <f>E13+S13</f>
        <v>22.221101639999997</v>
      </c>
    </row>
    <row r="14" spans="2:27">
      <c r="B14" s="1">
        <v>40575</v>
      </c>
      <c r="C14" s="29">
        <f>Gas!C13</f>
        <v>148</v>
      </c>
      <c r="D14" s="15">
        <f t="shared" ref="D14:D31" si="15">C14*E$2</f>
        <v>14.8</v>
      </c>
      <c r="E14" s="16">
        <f t="shared" si="12"/>
        <v>15.4956</v>
      </c>
      <c r="G14" s="16">
        <f t="shared" si="13"/>
        <v>4336.3609727512458</v>
      </c>
      <c r="H14" s="16">
        <f t="shared" si="14"/>
        <v>4540.1699384705544</v>
      </c>
      <c r="I14" s="16"/>
      <c r="J14" s="1">
        <v>40575</v>
      </c>
      <c r="K14" s="54">
        <f>Elec!B15</f>
        <v>303</v>
      </c>
      <c r="L14" s="19">
        <f>Elec!C15</f>
        <v>0</v>
      </c>
      <c r="M14" s="16">
        <f t="shared" si="11"/>
        <v>303</v>
      </c>
      <c r="N14" s="19">
        <f>-(Elec!E15)</f>
        <v>0</v>
      </c>
      <c r="P14" s="16">
        <f t="shared" ref="P14:P31" si="16">((M14-N14)*E$4)+N14</f>
        <v>1012.02</v>
      </c>
      <c r="R14" s="16">
        <f t="shared" ref="R14:R31" si="17">M14*E$3</f>
        <v>1.0341389999999999</v>
      </c>
      <c r="S14" s="16">
        <f t="shared" ref="S14:S31" si="18">((M14-N14)*E$4+N14)*E$3</f>
        <v>3.4540242599999997</v>
      </c>
      <c r="T14" s="11">
        <f>HDD!B24</f>
        <v>1154</v>
      </c>
      <c r="U14" s="11">
        <f>CDD!B15</f>
        <v>0</v>
      </c>
      <c r="W14" s="16">
        <f t="shared" ref="W14:W31" si="19">G14+M14</f>
        <v>4639.3609727512458</v>
      </c>
      <c r="X14" s="16">
        <f t="shared" ref="X14:X31" si="20">H14+P14</f>
        <v>5552.1899384705539</v>
      </c>
      <c r="Y14" s="16"/>
      <c r="Z14" s="16">
        <f t="shared" ref="Z14:Z31" si="21">D14+R14</f>
        <v>15.834139</v>
      </c>
      <c r="AA14" s="16">
        <f t="shared" ref="AA14:AA31" si="22">E14+S14</f>
        <v>18.94962426</v>
      </c>
    </row>
    <row r="15" spans="2:27">
      <c r="B15" s="1">
        <v>40603</v>
      </c>
      <c r="C15" s="29">
        <f>Gas!C14</f>
        <v>122</v>
      </c>
      <c r="D15" s="15">
        <f t="shared" si="15"/>
        <v>12.200000000000001</v>
      </c>
      <c r="E15" s="16">
        <f t="shared" si="12"/>
        <v>12.773400000000001</v>
      </c>
      <c r="G15" s="16">
        <f t="shared" si="13"/>
        <v>3574.5678288895406</v>
      </c>
      <c r="H15" s="16">
        <f t="shared" si="14"/>
        <v>3742.5725168473491</v>
      </c>
      <c r="I15" s="16"/>
      <c r="J15" s="1">
        <v>40603</v>
      </c>
      <c r="K15" s="54">
        <f>Elec!B16</f>
        <v>295</v>
      </c>
      <c r="L15" s="19">
        <f>Elec!C16</f>
        <v>0</v>
      </c>
      <c r="M15" s="16">
        <f t="shared" si="11"/>
        <v>295</v>
      </c>
      <c r="N15" s="19">
        <f>-(Elec!E16)</f>
        <v>0</v>
      </c>
      <c r="P15" s="16">
        <f t="shared" si="16"/>
        <v>985.3</v>
      </c>
      <c r="R15" s="16">
        <f t="shared" si="17"/>
        <v>1.0068349999999999</v>
      </c>
      <c r="S15" s="16">
        <f t="shared" si="18"/>
        <v>3.3628288999999998</v>
      </c>
      <c r="T15" s="11">
        <f>HDD!B25</f>
        <v>964</v>
      </c>
      <c r="U15" s="11">
        <f>CDD!B16</f>
        <v>0</v>
      </c>
      <c r="W15" s="16">
        <f t="shared" si="19"/>
        <v>3869.5678288895406</v>
      </c>
      <c r="X15" s="16">
        <f t="shared" si="20"/>
        <v>4727.8725168473493</v>
      </c>
      <c r="Y15" s="16"/>
      <c r="Z15" s="16">
        <f t="shared" si="21"/>
        <v>13.206835000000002</v>
      </c>
      <c r="AA15" s="16">
        <f t="shared" si="22"/>
        <v>16.136228899999999</v>
      </c>
    </row>
    <row r="16" spans="2:27">
      <c r="B16" s="1">
        <v>40634</v>
      </c>
      <c r="C16" s="29">
        <f>Gas!C15</f>
        <v>96</v>
      </c>
      <c r="D16" s="15">
        <f t="shared" si="15"/>
        <v>9.6000000000000014</v>
      </c>
      <c r="E16" s="16">
        <f t="shared" si="12"/>
        <v>10.051200000000001</v>
      </c>
      <c r="G16" s="16">
        <f t="shared" si="13"/>
        <v>2812.7746850278354</v>
      </c>
      <c r="H16" s="16">
        <f t="shared" si="14"/>
        <v>2944.9750952241438</v>
      </c>
      <c r="I16" s="16"/>
      <c r="J16" s="1">
        <v>40634</v>
      </c>
      <c r="K16" s="54">
        <f>Elec!B17</f>
        <v>301</v>
      </c>
      <c r="L16" s="19">
        <f>Elec!C17</f>
        <v>0</v>
      </c>
      <c r="M16" s="16">
        <f t="shared" si="11"/>
        <v>301</v>
      </c>
      <c r="N16" s="19">
        <f>-(Elec!E17)</f>
        <v>0</v>
      </c>
      <c r="P16" s="16">
        <f t="shared" si="16"/>
        <v>1005.3399999999999</v>
      </c>
      <c r="R16" s="16">
        <f t="shared" si="17"/>
        <v>1.0273129999999999</v>
      </c>
      <c r="S16" s="16">
        <f t="shared" si="18"/>
        <v>3.4312254199999996</v>
      </c>
      <c r="T16" s="11">
        <f>HDD!B26</f>
        <v>813</v>
      </c>
      <c r="U16" s="11">
        <f>CDD!B17</f>
        <v>1</v>
      </c>
      <c r="W16" s="16">
        <f t="shared" si="19"/>
        <v>3113.7746850278354</v>
      </c>
      <c r="X16" s="16">
        <f t="shared" si="20"/>
        <v>3950.315095224144</v>
      </c>
      <c r="Y16" s="16"/>
      <c r="Z16" s="16">
        <f t="shared" si="21"/>
        <v>10.627313000000001</v>
      </c>
      <c r="AA16" s="16">
        <f t="shared" si="22"/>
        <v>13.482425420000002</v>
      </c>
    </row>
    <row r="17" spans="2:27">
      <c r="B17" s="1">
        <v>40664</v>
      </c>
      <c r="C17" s="29">
        <f>Gas!C16</f>
        <v>34</v>
      </c>
      <c r="D17" s="15">
        <f t="shared" si="15"/>
        <v>3.4000000000000004</v>
      </c>
      <c r="E17" s="16">
        <f t="shared" si="12"/>
        <v>3.5598000000000001</v>
      </c>
      <c r="G17" s="16">
        <f t="shared" si="13"/>
        <v>996.19103428069172</v>
      </c>
      <c r="H17" s="16">
        <f t="shared" si="14"/>
        <v>1043.0120128918841</v>
      </c>
      <c r="I17" s="16"/>
      <c r="J17" s="1">
        <v>40664</v>
      </c>
      <c r="K17" s="54">
        <f>Elec!B18</f>
        <v>334</v>
      </c>
      <c r="L17" s="19">
        <f>Elec!C18</f>
        <v>0</v>
      </c>
      <c r="M17" s="16">
        <f t="shared" si="11"/>
        <v>334</v>
      </c>
      <c r="N17" s="19">
        <f>-(Elec!E18)</f>
        <v>0</v>
      </c>
      <c r="P17" s="16">
        <f t="shared" si="16"/>
        <v>1115.56</v>
      </c>
      <c r="R17" s="16">
        <f t="shared" si="17"/>
        <v>1.139942</v>
      </c>
      <c r="S17" s="16">
        <f t="shared" si="18"/>
        <v>3.8074062799999995</v>
      </c>
      <c r="T17" s="11">
        <f>HDD!B27</f>
        <v>468</v>
      </c>
      <c r="U17" s="11">
        <f>CDD!B18</f>
        <v>8</v>
      </c>
      <c r="W17" s="16">
        <f t="shared" si="19"/>
        <v>1330.1910342806918</v>
      </c>
      <c r="X17" s="16">
        <f t="shared" si="20"/>
        <v>2158.5720128918838</v>
      </c>
      <c r="Y17" s="16"/>
      <c r="Z17" s="16">
        <f t="shared" si="21"/>
        <v>4.5399419999999999</v>
      </c>
      <c r="AA17" s="16">
        <f t="shared" si="22"/>
        <v>7.3672062799999996</v>
      </c>
    </row>
    <row r="18" spans="2:27">
      <c r="B18" s="1">
        <v>40695</v>
      </c>
      <c r="C18" s="29">
        <f>Gas!C17</f>
        <v>18</v>
      </c>
      <c r="D18" s="15">
        <f t="shared" si="15"/>
        <v>1.8</v>
      </c>
      <c r="E18" s="16">
        <f t="shared" si="12"/>
        <v>1.8845999999999998</v>
      </c>
      <c r="G18" s="16">
        <f t="shared" si="13"/>
        <v>527.39525344271908</v>
      </c>
      <c r="H18" s="16">
        <f t="shared" si="14"/>
        <v>552.1828303545268</v>
      </c>
      <c r="I18" s="16"/>
      <c r="J18" s="1">
        <v>40695</v>
      </c>
      <c r="K18" s="54">
        <f>Elec!B19</f>
        <v>315</v>
      </c>
      <c r="L18" s="19">
        <f>Elec!C19</f>
        <v>0</v>
      </c>
      <c r="M18" s="16">
        <f t="shared" si="11"/>
        <v>315</v>
      </c>
      <c r="N18" s="19">
        <f>-(Elec!E19)</f>
        <v>0</v>
      </c>
      <c r="P18" s="16">
        <f t="shared" si="16"/>
        <v>1052.0999999999999</v>
      </c>
      <c r="R18" s="16">
        <f t="shared" si="17"/>
        <v>1.0750949999999999</v>
      </c>
      <c r="S18" s="16">
        <f t="shared" si="18"/>
        <v>3.5908172999999994</v>
      </c>
      <c r="T18" s="11">
        <f>HDD!B28</f>
        <v>255</v>
      </c>
      <c r="U18" s="11">
        <f>CDD!B19</f>
        <v>50</v>
      </c>
      <c r="W18" s="16">
        <f t="shared" si="19"/>
        <v>842.39525344271908</v>
      </c>
      <c r="X18" s="16">
        <f t="shared" si="20"/>
        <v>1604.2828303545266</v>
      </c>
      <c r="Y18" s="16"/>
      <c r="Z18" s="16">
        <f t="shared" si="21"/>
        <v>2.875095</v>
      </c>
      <c r="AA18" s="16">
        <f t="shared" si="22"/>
        <v>5.4754172999999993</v>
      </c>
    </row>
    <row r="19" spans="2:27">
      <c r="B19" s="1">
        <v>40735</v>
      </c>
      <c r="C19" s="29">
        <f>Gas!C18</f>
        <v>15</v>
      </c>
      <c r="D19" s="15">
        <f t="shared" si="15"/>
        <v>1.5</v>
      </c>
      <c r="E19" s="16">
        <f t="shared" si="12"/>
        <v>1.5705</v>
      </c>
      <c r="G19" s="16">
        <f t="shared" si="13"/>
        <v>439.49604453559925</v>
      </c>
      <c r="H19" s="16">
        <f t="shared" si="14"/>
        <v>460.15235862877239</v>
      </c>
      <c r="I19" s="16"/>
      <c r="J19" s="1">
        <v>40725</v>
      </c>
      <c r="K19" s="54">
        <f>Elec!B20</f>
        <v>276</v>
      </c>
      <c r="L19" s="19">
        <f>Elec!C20</f>
        <v>0</v>
      </c>
      <c r="M19" s="16">
        <f t="shared" si="11"/>
        <v>276</v>
      </c>
      <c r="N19" s="19">
        <f>-(Elec!E20)</f>
        <v>0</v>
      </c>
      <c r="P19" s="16">
        <f t="shared" si="16"/>
        <v>921.83999999999992</v>
      </c>
      <c r="R19" s="16">
        <f t="shared" si="17"/>
        <v>0.94198799999999994</v>
      </c>
      <c r="S19" s="16">
        <f t="shared" si="18"/>
        <v>3.1462399199999997</v>
      </c>
      <c r="T19" s="11">
        <f>HDD!B29</f>
        <v>75</v>
      </c>
      <c r="U19" s="11">
        <f>CDD!B20</f>
        <v>130</v>
      </c>
      <c r="W19" s="16">
        <f t="shared" si="19"/>
        <v>715.49604453559925</v>
      </c>
      <c r="X19" s="16">
        <f t="shared" si="20"/>
        <v>1381.9923586287723</v>
      </c>
      <c r="Y19" s="16"/>
      <c r="Z19" s="16">
        <f t="shared" si="21"/>
        <v>2.4419879999999998</v>
      </c>
      <c r="AA19" s="16">
        <f t="shared" si="22"/>
        <v>4.7167399200000002</v>
      </c>
    </row>
    <row r="20" spans="2:27">
      <c r="B20" s="1">
        <v>40766</v>
      </c>
      <c r="C20" s="29">
        <f>Gas!C19</f>
        <v>11</v>
      </c>
      <c r="D20" s="15">
        <f t="shared" si="15"/>
        <v>1.1000000000000001</v>
      </c>
      <c r="E20" s="16">
        <f t="shared" si="12"/>
        <v>1.1516999999999999</v>
      </c>
      <c r="G20" s="16">
        <f t="shared" si="13"/>
        <v>322.29709932610615</v>
      </c>
      <c r="H20" s="16">
        <f t="shared" si="14"/>
        <v>337.44506299443304</v>
      </c>
      <c r="I20" s="16"/>
      <c r="J20" s="1">
        <v>40756</v>
      </c>
      <c r="K20" s="54">
        <f>Elec!B21</f>
        <v>320</v>
      </c>
      <c r="L20" s="19">
        <f>Elec!C21</f>
        <v>0</v>
      </c>
      <c r="M20" s="16">
        <f t="shared" si="11"/>
        <v>320</v>
      </c>
      <c r="N20" s="19">
        <f>-(Elec!E21)</f>
        <v>0</v>
      </c>
      <c r="P20" s="16">
        <f t="shared" si="16"/>
        <v>1068.8</v>
      </c>
      <c r="R20" s="16">
        <f t="shared" si="17"/>
        <v>1.09216</v>
      </c>
      <c r="S20" s="16">
        <f t="shared" si="18"/>
        <v>3.6478143999999997</v>
      </c>
      <c r="T20" s="11">
        <f>HDD!B30</f>
        <v>0</v>
      </c>
      <c r="U20" s="11">
        <f>CDD!B21</f>
        <v>374</v>
      </c>
      <c r="W20" s="16">
        <f t="shared" si="19"/>
        <v>642.29709932610615</v>
      </c>
      <c r="X20" s="16">
        <f t="shared" si="20"/>
        <v>1406.2450629944331</v>
      </c>
      <c r="Y20" s="16"/>
      <c r="Z20" s="16">
        <f t="shared" si="21"/>
        <v>2.1921600000000003</v>
      </c>
      <c r="AA20" s="16">
        <f t="shared" si="22"/>
        <v>4.7995143999999996</v>
      </c>
    </row>
    <row r="21" spans="2:27">
      <c r="B21" s="1">
        <v>40797</v>
      </c>
      <c r="C21" s="29">
        <f>Gas!C20</f>
        <v>10</v>
      </c>
      <c r="D21" s="15">
        <f t="shared" si="15"/>
        <v>1</v>
      </c>
      <c r="E21" s="16">
        <f t="shared" si="12"/>
        <v>1.0469999999999999</v>
      </c>
      <c r="G21" s="16">
        <f t="shared" si="13"/>
        <v>292.99736302373282</v>
      </c>
      <c r="H21" s="16">
        <f t="shared" si="14"/>
        <v>306.76823908584822</v>
      </c>
      <c r="I21" s="16"/>
      <c r="J21" s="1">
        <v>40787</v>
      </c>
      <c r="K21" s="54">
        <f>Elec!B22</f>
        <v>344</v>
      </c>
      <c r="L21" s="19">
        <f>Elec!C22</f>
        <v>0</v>
      </c>
      <c r="M21" s="16">
        <f t="shared" si="11"/>
        <v>344</v>
      </c>
      <c r="N21" s="19">
        <f>-(Elec!E22)</f>
        <v>0</v>
      </c>
      <c r="P21" s="16">
        <f t="shared" si="16"/>
        <v>1148.96</v>
      </c>
      <c r="R21" s="16">
        <f t="shared" si="17"/>
        <v>1.174072</v>
      </c>
      <c r="S21" s="16">
        <f t="shared" si="18"/>
        <v>3.92140048</v>
      </c>
      <c r="T21" s="11">
        <f>HDD!B31</f>
        <v>2</v>
      </c>
      <c r="U21" s="11">
        <f>CDD!B22</f>
        <v>260</v>
      </c>
      <c r="W21" s="16">
        <f t="shared" si="19"/>
        <v>636.99736302373276</v>
      </c>
      <c r="X21" s="16">
        <f t="shared" si="20"/>
        <v>1455.7282390858481</v>
      </c>
      <c r="Y21" s="16"/>
      <c r="Z21" s="16">
        <f t="shared" si="21"/>
        <v>2.1740719999999998</v>
      </c>
      <c r="AA21" s="16">
        <f t="shared" si="22"/>
        <v>4.9684004799999997</v>
      </c>
    </row>
    <row r="22" spans="2:27">
      <c r="B22" s="1">
        <v>40827</v>
      </c>
      <c r="C22" s="29">
        <f>Gas!C21</f>
        <v>14</v>
      </c>
      <c r="D22" s="15">
        <f t="shared" si="15"/>
        <v>1.4000000000000001</v>
      </c>
      <c r="E22" s="16">
        <f t="shared" si="12"/>
        <v>1.4658</v>
      </c>
      <c r="G22" s="16">
        <f t="shared" si="13"/>
        <v>410.19630823322598</v>
      </c>
      <c r="H22" s="16">
        <f t="shared" si="14"/>
        <v>429.47553472018757</v>
      </c>
      <c r="I22" s="16"/>
      <c r="J22" s="1">
        <v>40817</v>
      </c>
      <c r="K22" s="54">
        <f>Elec!B23</f>
        <v>430</v>
      </c>
      <c r="L22" s="19">
        <f>Elec!C23</f>
        <v>0</v>
      </c>
      <c r="M22" s="16">
        <f t="shared" si="11"/>
        <v>430</v>
      </c>
      <c r="N22" s="19">
        <f>-(Elec!E23)</f>
        <v>0</v>
      </c>
      <c r="P22" s="16">
        <f t="shared" si="16"/>
        <v>1436.2</v>
      </c>
      <c r="R22" s="16">
        <f t="shared" si="17"/>
        <v>1.46759</v>
      </c>
      <c r="S22" s="16">
        <f t="shared" si="18"/>
        <v>4.9017505999999997</v>
      </c>
      <c r="T22" s="11">
        <f>HDD!B32</f>
        <v>57</v>
      </c>
      <c r="U22" s="11">
        <f>CDD!B23</f>
        <v>115</v>
      </c>
      <c r="W22" s="16">
        <f t="shared" si="19"/>
        <v>840.19630823322598</v>
      </c>
      <c r="X22" s="16">
        <f t="shared" si="20"/>
        <v>1865.6755347201877</v>
      </c>
      <c r="Y22" s="16"/>
      <c r="Z22" s="16">
        <f t="shared" si="21"/>
        <v>2.8675899999999999</v>
      </c>
      <c r="AA22" s="16">
        <f t="shared" si="22"/>
        <v>6.3675505999999995</v>
      </c>
    </row>
    <row r="23" spans="2:27">
      <c r="B23" s="1">
        <v>40858</v>
      </c>
      <c r="C23" s="29">
        <f>Gas!C22</f>
        <v>41</v>
      </c>
      <c r="D23" s="15">
        <f t="shared" si="15"/>
        <v>4.1000000000000005</v>
      </c>
      <c r="E23" s="16">
        <f t="shared" si="12"/>
        <v>4.2927</v>
      </c>
      <c r="G23" s="16">
        <f t="shared" si="13"/>
        <v>1201.2891883973048</v>
      </c>
      <c r="H23" s="16">
        <f t="shared" si="14"/>
        <v>1257.7497802519779</v>
      </c>
      <c r="I23" s="16"/>
      <c r="J23" s="1">
        <v>40848</v>
      </c>
      <c r="K23" s="54">
        <f>Elec!B24</f>
        <v>407</v>
      </c>
      <c r="L23" s="19">
        <f>Elec!C24</f>
        <v>0</v>
      </c>
      <c r="M23" s="16">
        <f t="shared" si="11"/>
        <v>407</v>
      </c>
      <c r="N23" s="19">
        <f>-(Elec!E24)</f>
        <v>0</v>
      </c>
      <c r="P23" s="16">
        <f t="shared" si="16"/>
        <v>1359.3799999999999</v>
      </c>
      <c r="R23" s="16">
        <f t="shared" si="17"/>
        <v>1.3890909999999999</v>
      </c>
      <c r="S23" s="16">
        <f t="shared" si="18"/>
        <v>4.6395639399999995</v>
      </c>
      <c r="T23" s="11">
        <f>HDD!B33</f>
        <v>267</v>
      </c>
      <c r="U23" s="11">
        <f>CDD!B24</f>
        <v>29</v>
      </c>
      <c r="W23" s="36">
        <f t="shared" si="19"/>
        <v>1608.2891883973048</v>
      </c>
      <c r="X23" s="37">
        <f t="shared" si="20"/>
        <v>2617.1297802519775</v>
      </c>
      <c r="Y23" s="37"/>
      <c r="Z23" s="37">
        <f t="shared" si="21"/>
        <v>5.4890910000000002</v>
      </c>
      <c r="AA23" s="38">
        <f t="shared" si="22"/>
        <v>8.9322639399999986</v>
      </c>
    </row>
    <row r="24" spans="2:27">
      <c r="B24" s="1">
        <v>40888</v>
      </c>
      <c r="C24" s="29">
        <f>Gas!C23</f>
        <v>49</v>
      </c>
      <c r="D24" s="15">
        <f t="shared" si="15"/>
        <v>4.9000000000000004</v>
      </c>
      <c r="E24" s="16">
        <f t="shared" si="12"/>
        <v>5.1303000000000001</v>
      </c>
      <c r="G24" s="16">
        <f t="shared" si="13"/>
        <v>1435.687078816291</v>
      </c>
      <c r="H24" s="16">
        <f t="shared" si="14"/>
        <v>1503.1643715206565</v>
      </c>
      <c r="I24" s="16"/>
      <c r="J24" s="1">
        <v>40878</v>
      </c>
      <c r="K24" s="54">
        <f>Elec!B25</f>
        <v>359</v>
      </c>
      <c r="L24" s="19">
        <f>Elec!C25</f>
        <v>0</v>
      </c>
      <c r="M24" s="16">
        <f t="shared" si="11"/>
        <v>359</v>
      </c>
      <c r="N24" s="19">
        <f>-(Elec!E25)</f>
        <v>0</v>
      </c>
      <c r="P24" s="16">
        <f t="shared" si="16"/>
        <v>1199.06</v>
      </c>
      <c r="R24" s="16">
        <f t="shared" si="17"/>
        <v>1.2252669999999999</v>
      </c>
      <c r="S24" s="16">
        <f t="shared" si="18"/>
        <v>4.0923917799999998</v>
      </c>
      <c r="T24" s="11">
        <f>HDD!B34</f>
        <v>449</v>
      </c>
      <c r="U24" s="11">
        <f>CDD!B25</f>
        <v>1</v>
      </c>
      <c r="W24" s="39">
        <f t="shared" si="19"/>
        <v>1794.687078816291</v>
      </c>
      <c r="X24" s="40">
        <f t="shared" si="20"/>
        <v>2702.2243715206564</v>
      </c>
      <c r="Y24" s="40"/>
      <c r="Z24" s="40">
        <f t="shared" si="21"/>
        <v>6.125267</v>
      </c>
      <c r="AA24" s="41">
        <f t="shared" si="22"/>
        <v>9.2226917799999999</v>
      </c>
    </row>
    <row r="25" spans="2:27">
      <c r="B25" s="1">
        <v>40920</v>
      </c>
      <c r="C25" s="29">
        <f>Gas!C24</f>
        <v>77</v>
      </c>
      <c r="D25" s="15">
        <f t="shared" si="15"/>
        <v>7.7</v>
      </c>
      <c r="E25" s="16">
        <f t="shared" si="12"/>
        <v>8.0618999999999996</v>
      </c>
      <c r="G25" s="16">
        <f t="shared" si="13"/>
        <v>2256.0796952827427</v>
      </c>
      <c r="H25" s="16">
        <f t="shared" si="14"/>
        <v>2362.1154409610317</v>
      </c>
      <c r="I25" s="16"/>
      <c r="J25" s="1">
        <v>40909</v>
      </c>
      <c r="K25" s="54">
        <f>Elec!B26</f>
        <v>321</v>
      </c>
      <c r="L25" s="19">
        <f>Elec!C26</f>
        <v>0</v>
      </c>
      <c r="M25" s="16">
        <f t="shared" si="11"/>
        <v>321</v>
      </c>
      <c r="N25" s="19">
        <f>-(Elec!E26)</f>
        <v>0</v>
      </c>
      <c r="P25" s="16">
        <f t="shared" si="16"/>
        <v>1072.1399999999999</v>
      </c>
      <c r="R25" s="16">
        <f t="shared" si="17"/>
        <v>1.0955729999999999</v>
      </c>
      <c r="S25" s="16">
        <f t="shared" si="18"/>
        <v>3.6592138199999993</v>
      </c>
      <c r="T25" s="11">
        <f>HDD!B35</f>
        <v>764</v>
      </c>
      <c r="U25" s="11">
        <f>CDD!B26</f>
        <v>0</v>
      </c>
      <c r="W25" s="39">
        <f t="shared" si="19"/>
        <v>2577.0796952827427</v>
      </c>
      <c r="X25" s="40">
        <f t="shared" si="20"/>
        <v>3434.2554409610316</v>
      </c>
      <c r="Y25" s="40"/>
      <c r="Z25" s="40">
        <f t="shared" si="21"/>
        <v>8.795573000000001</v>
      </c>
      <c r="AA25" s="41">
        <f t="shared" si="22"/>
        <v>11.721113819999999</v>
      </c>
    </row>
    <row r="26" spans="2:27">
      <c r="B26" s="1">
        <v>40940</v>
      </c>
      <c r="C26" s="29">
        <f>Gas!C25</f>
        <v>68</v>
      </c>
      <c r="D26" s="15">
        <f t="shared" si="15"/>
        <v>6.8000000000000007</v>
      </c>
      <c r="E26" s="16">
        <f t="shared" si="12"/>
        <v>7.1196000000000002</v>
      </c>
      <c r="G26" s="16">
        <f t="shared" si="13"/>
        <v>1992.3820685613834</v>
      </c>
      <c r="H26" s="16">
        <f t="shared" si="14"/>
        <v>2086.0240257837681</v>
      </c>
      <c r="I26" s="16"/>
      <c r="J26" s="1">
        <v>40940</v>
      </c>
      <c r="K26" s="54">
        <f>Elec!B27</f>
        <v>340</v>
      </c>
      <c r="L26" s="19">
        <f>Elec!C27</f>
        <v>0</v>
      </c>
      <c r="M26" s="16">
        <f t="shared" si="11"/>
        <v>340</v>
      </c>
      <c r="N26" s="19">
        <f>-(Elec!E27)</f>
        <v>0</v>
      </c>
      <c r="P26" s="16">
        <f t="shared" si="16"/>
        <v>1135.5999999999999</v>
      </c>
      <c r="R26" s="16">
        <f t="shared" si="17"/>
        <v>1.16042</v>
      </c>
      <c r="S26" s="16">
        <f t="shared" si="18"/>
        <v>3.8758027999999993</v>
      </c>
      <c r="T26" s="11">
        <f>HDD!B36</f>
        <v>959</v>
      </c>
      <c r="U26" s="11">
        <f>CDD!B27</f>
        <v>0</v>
      </c>
      <c r="W26" s="39">
        <f t="shared" si="19"/>
        <v>2332.3820685613837</v>
      </c>
      <c r="X26" s="40">
        <f t="shared" si="20"/>
        <v>3221.624025783768</v>
      </c>
      <c r="Y26" s="40"/>
      <c r="Z26" s="40">
        <f t="shared" si="21"/>
        <v>7.9604200000000009</v>
      </c>
      <c r="AA26" s="41">
        <f t="shared" si="22"/>
        <v>10.995402799999999</v>
      </c>
    </row>
    <row r="27" spans="2:27">
      <c r="B27" s="1">
        <v>40969</v>
      </c>
      <c r="C27" s="29">
        <f>Gas!C26</f>
        <v>59</v>
      </c>
      <c r="D27" s="15">
        <f t="shared" si="15"/>
        <v>5.9</v>
      </c>
      <c r="E27" s="16">
        <f t="shared" si="12"/>
        <v>6.1772999999999998</v>
      </c>
      <c r="G27" s="16">
        <f t="shared" si="13"/>
        <v>1728.6844418400237</v>
      </c>
      <c r="H27" s="16">
        <f t="shared" si="14"/>
        <v>1809.9326106065046</v>
      </c>
      <c r="I27" s="16"/>
      <c r="J27" s="1">
        <v>40969</v>
      </c>
      <c r="K27" s="54">
        <f>Elec!B28</f>
        <v>266</v>
      </c>
      <c r="L27" s="19">
        <f>Elec!C28</f>
        <v>0</v>
      </c>
      <c r="M27" s="16">
        <f t="shared" si="11"/>
        <v>266</v>
      </c>
      <c r="N27" s="19">
        <f>-(Elec!E28)</f>
        <v>0</v>
      </c>
      <c r="P27" s="16">
        <f t="shared" si="16"/>
        <v>888.43999999999994</v>
      </c>
      <c r="R27" s="16">
        <f t="shared" si="17"/>
        <v>0.90785799999999994</v>
      </c>
      <c r="S27" s="16">
        <f t="shared" si="18"/>
        <v>3.0322457199999997</v>
      </c>
      <c r="T27" s="11">
        <f>HDD!B37</f>
        <v>801</v>
      </c>
      <c r="U27" s="11">
        <f>CDD!B28</f>
        <v>0</v>
      </c>
      <c r="W27" s="39">
        <f t="shared" si="19"/>
        <v>1994.6844418400237</v>
      </c>
      <c r="X27" s="40">
        <f t="shared" si="20"/>
        <v>2698.3726106065046</v>
      </c>
      <c r="Y27" s="40"/>
      <c r="Z27" s="40">
        <f t="shared" si="21"/>
        <v>6.8078580000000004</v>
      </c>
      <c r="AA27" s="41">
        <f t="shared" si="22"/>
        <v>9.2095457199999995</v>
      </c>
    </row>
    <row r="28" spans="2:27">
      <c r="B28" s="1">
        <v>41000</v>
      </c>
      <c r="C28" s="29">
        <f>Gas!C27</f>
        <v>40</v>
      </c>
      <c r="D28" s="15">
        <f t="shared" si="15"/>
        <v>4</v>
      </c>
      <c r="E28" s="16">
        <f t="shared" si="12"/>
        <v>4.1879999999999997</v>
      </c>
      <c r="G28" s="16">
        <f t="shared" si="13"/>
        <v>1171.9894520949313</v>
      </c>
      <c r="H28" s="16">
        <f t="shared" si="14"/>
        <v>1227.0729563433929</v>
      </c>
      <c r="I28" s="16"/>
      <c r="J28" s="1">
        <v>41000</v>
      </c>
      <c r="K28" s="54">
        <f>Elec!B29</f>
        <v>255</v>
      </c>
      <c r="L28" s="19">
        <f>Elec!C29</f>
        <v>0</v>
      </c>
      <c r="M28" s="16">
        <f t="shared" si="11"/>
        <v>255</v>
      </c>
      <c r="N28" s="19">
        <f>-(Elec!E29)</f>
        <v>0</v>
      </c>
      <c r="P28" s="16">
        <f t="shared" si="16"/>
        <v>851.69999999999993</v>
      </c>
      <c r="R28" s="16">
        <f t="shared" si="17"/>
        <v>0.87031499999999995</v>
      </c>
      <c r="S28" s="16">
        <f t="shared" si="18"/>
        <v>2.9068520999999996</v>
      </c>
      <c r="T28" s="11">
        <f>HDD!B38</f>
        <v>608</v>
      </c>
      <c r="U28" s="11">
        <f>CDD!B29</f>
        <v>18</v>
      </c>
      <c r="W28" s="39">
        <f t="shared" si="19"/>
        <v>1426.9894520949313</v>
      </c>
      <c r="X28" s="40">
        <f t="shared" si="20"/>
        <v>2078.7729563433927</v>
      </c>
      <c r="Y28" s="40"/>
      <c r="Z28" s="40">
        <f t="shared" si="21"/>
        <v>4.8703149999999997</v>
      </c>
      <c r="AA28" s="41">
        <f t="shared" si="22"/>
        <v>7.0948520999999989</v>
      </c>
    </row>
    <row r="29" spans="2:27">
      <c r="B29" s="1">
        <v>41030</v>
      </c>
      <c r="C29" s="29">
        <f>Gas!C28</f>
        <v>21</v>
      </c>
      <c r="D29" s="15">
        <f t="shared" si="15"/>
        <v>2.1</v>
      </c>
      <c r="E29" s="16">
        <f t="shared" si="12"/>
        <v>2.1987000000000001</v>
      </c>
      <c r="G29" s="16">
        <f t="shared" si="13"/>
        <v>615.29446234983891</v>
      </c>
      <c r="H29" s="16">
        <f t="shared" si="14"/>
        <v>644.21330208028132</v>
      </c>
      <c r="I29" s="16"/>
      <c r="J29" s="1">
        <v>41030</v>
      </c>
      <c r="K29" s="54">
        <f>Elec!B30</f>
        <v>307</v>
      </c>
      <c r="L29" s="19">
        <f>Elec!C30</f>
        <v>0</v>
      </c>
      <c r="M29" s="16">
        <f t="shared" si="11"/>
        <v>307</v>
      </c>
      <c r="N29" s="19">
        <f>-(Elec!E30)</f>
        <v>0</v>
      </c>
      <c r="P29" s="16">
        <f t="shared" si="16"/>
        <v>1025.3799999999999</v>
      </c>
      <c r="R29" s="16">
        <f t="shared" si="17"/>
        <v>1.0477909999999999</v>
      </c>
      <c r="S29" s="16">
        <f t="shared" si="18"/>
        <v>3.4996219399999995</v>
      </c>
      <c r="T29" s="11">
        <f>HDD!B39</f>
        <v>398</v>
      </c>
      <c r="U29" s="11">
        <f>CDD!B30</f>
        <v>25</v>
      </c>
      <c r="W29" s="39">
        <f t="shared" si="19"/>
        <v>922.29446234983891</v>
      </c>
      <c r="X29" s="40">
        <f t="shared" si="20"/>
        <v>1669.5933020802813</v>
      </c>
      <c r="Y29" s="40"/>
      <c r="Z29" s="40">
        <f t="shared" si="21"/>
        <v>3.1477909999999998</v>
      </c>
      <c r="AA29" s="41">
        <f t="shared" si="22"/>
        <v>5.6983219399999996</v>
      </c>
    </row>
    <row r="30" spans="2:27">
      <c r="B30" s="1">
        <v>41061</v>
      </c>
      <c r="C30" s="29">
        <f>Gas!C29</f>
        <v>17</v>
      </c>
      <c r="D30" s="15">
        <f t="shared" si="15"/>
        <v>1.7000000000000002</v>
      </c>
      <c r="E30" s="16">
        <f t="shared" si="12"/>
        <v>1.7799</v>
      </c>
      <c r="G30" s="16">
        <f t="shared" si="13"/>
        <v>498.09551714034586</v>
      </c>
      <c r="H30" s="16">
        <f t="shared" si="14"/>
        <v>521.50600644594203</v>
      </c>
      <c r="I30" s="16"/>
      <c r="J30" s="1">
        <v>41061</v>
      </c>
      <c r="K30" s="54">
        <f>Elec!B31</f>
        <v>315</v>
      </c>
      <c r="L30" s="19">
        <f>Elec!C31</f>
        <v>0</v>
      </c>
      <c r="M30" s="16">
        <f t="shared" si="11"/>
        <v>315</v>
      </c>
      <c r="N30" s="19">
        <f>-(Elec!E31)</f>
        <v>0</v>
      </c>
      <c r="P30" s="16">
        <f t="shared" si="16"/>
        <v>1052.0999999999999</v>
      </c>
      <c r="R30" s="16">
        <f t="shared" si="17"/>
        <v>1.0750949999999999</v>
      </c>
      <c r="S30" s="16">
        <f t="shared" si="18"/>
        <v>3.5908172999999994</v>
      </c>
      <c r="T30" s="11">
        <f>HDD!B40</f>
        <v>204</v>
      </c>
      <c r="U30" s="11">
        <f>CDD!B31</f>
        <v>42</v>
      </c>
      <c r="W30" s="39">
        <f t="shared" si="19"/>
        <v>813.09551714034592</v>
      </c>
      <c r="X30" s="40">
        <f t="shared" si="20"/>
        <v>1573.6060064459421</v>
      </c>
      <c r="Y30" s="40"/>
      <c r="Z30" s="40">
        <f t="shared" si="21"/>
        <v>2.7750950000000003</v>
      </c>
      <c r="AA30" s="41">
        <f t="shared" si="22"/>
        <v>5.370717299999999</v>
      </c>
    </row>
    <row r="31" spans="2:27">
      <c r="B31" s="1">
        <v>41101</v>
      </c>
      <c r="C31" s="29">
        <f>Gas!C30</f>
        <v>14</v>
      </c>
      <c r="D31" s="15">
        <f t="shared" si="15"/>
        <v>1.4000000000000001</v>
      </c>
      <c r="E31" s="16">
        <f t="shared" si="12"/>
        <v>1.4658</v>
      </c>
      <c r="G31" s="16">
        <f t="shared" si="13"/>
        <v>410.19630823322598</v>
      </c>
      <c r="H31" s="16">
        <f t="shared" si="14"/>
        <v>429.47553472018757</v>
      </c>
      <c r="I31" s="16"/>
      <c r="J31" s="1">
        <v>41091</v>
      </c>
      <c r="K31" s="54">
        <f>Elec!B32</f>
        <v>315</v>
      </c>
      <c r="L31" s="19">
        <f>Elec!C32</f>
        <v>0</v>
      </c>
      <c r="M31" s="16">
        <f t="shared" si="11"/>
        <v>315</v>
      </c>
      <c r="N31" s="19">
        <f>-(Elec!E32)</f>
        <v>0</v>
      </c>
      <c r="P31" s="16">
        <f t="shared" si="16"/>
        <v>1052.0999999999999</v>
      </c>
      <c r="R31" s="16">
        <f t="shared" si="17"/>
        <v>1.0750949999999999</v>
      </c>
      <c r="S31" s="16">
        <f t="shared" si="18"/>
        <v>3.5908172999999994</v>
      </c>
      <c r="T31" s="11">
        <f>HDD!B41</f>
        <v>94</v>
      </c>
      <c r="U31" s="11">
        <f>CDD!B32</f>
        <v>142</v>
      </c>
      <c r="W31" s="42">
        <f t="shared" si="19"/>
        <v>725.19630823322598</v>
      </c>
      <c r="X31" s="43">
        <f t="shared" si="20"/>
        <v>1481.5755347201875</v>
      </c>
      <c r="Y31" s="43"/>
      <c r="Z31" s="43">
        <f t="shared" si="21"/>
        <v>2.475095</v>
      </c>
      <c r="AA31" s="44">
        <f t="shared" si="22"/>
        <v>5.0566172999999992</v>
      </c>
    </row>
    <row r="32" spans="2:27">
      <c r="B32" s="1">
        <v>41132</v>
      </c>
      <c r="C32" s="29">
        <f>Gas!C31</f>
        <v>9</v>
      </c>
      <c r="D32" s="2"/>
      <c r="Q32" s="11" t="s">
        <v>91</v>
      </c>
      <c r="R32" s="16">
        <f>SUM(R26:R31)</f>
        <v>6.1365740000000004</v>
      </c>
      <c r="S32" s="16">
        <f>SUM(S26:S31)</f>
        <v>20.496157159999996</v>
      </c>
    </row>
    <row r="33" spans="1:27" s="11" customFormat="1">
      <c r="B33" s="1"/>
      <c r="C33" s="29" t="s">
        <v>91</v>
      </c>
      <c r="D33" s="15">
        <f>SUM(D26:D31)</f>
        <v>21.900000000000002</v>
      </c>
      <c r="E33" s="16">
        <f>SUM(E26:E31)</f>
        <v>22.929300000000001</v>
      </c>
    </row>
    <row r="34" spans="1:27">
      <c r="B34" s="11"/>
      <c r="C34" s="55"/>
      <c r="D34" s="2"/>
      <c r="M34" s="11"/>
    </row>
    <row r="35" spans="1:27" s="11" customFormat="1">
      <c r="C35" s="56" t="s">
        <v>57</v>
      </c>
      <c r="D35" s="19"/>
    </row>
    <row r="36" spans="1:27" s="11" customFormat="1">
      <c r="C36" s="57">
        <f>MIN(C26:C31)</f>
        <v>14</v>
      </c>
      <c r="D36" s="58">
        <f t="shared" ref="D36" si="23">C36*E$2</f>
        <v>1.4000000000000001</v>
      </c>
      <c r="E36" s="59">
        <f t="shared" ref="E36" si="24">D36*E$5</f>
        <v>1.4658</v>
      </c>
      <c r="F36" s="60"/>
      <c r="G36" s="59">
        <f t="shared" ref="G36" si="25">D36*E$1</f>
        <v>410.19630823322598</v>
      </c>
      <c r="H36" s="59">
        <f t="shared" ref="H36" si="26">E36*E$1</f>
        <v>429.47553472018757</v>
      </c>
      <c r="I36" s="60"/>
      <c r="J36" s="60"/>
      <c r="K36" s="60"/>
      <c r="L36" s="60"/>
      <c r="M36" s="59">
        <f>MIN(M26:M31)</f>
        <v>255</v>
      </c>
      <c r="N36" s="60"/>
      <c r="O36" s="60"/>
      <c r="P36" s="59">
        <f t="shared" ref="P36" si="27">((M36-N36)*E$4)+N36</f>
        <v>851.69999999999993</v>
      </c>
      <c r="Q36" s="60"/>
      <c r="R36" s="59">
        <f t="shared" ref="R36" si="28">M36*E$3</f>
        <v>0.87031499999999995</v>
      </c>
      <c r="S36" s="59">
        <f t="shared" ref="S36" si="29">((M36-N36)*E$4+N36)*E$3</f>
        <v>2.9068520999999996</v>
      </c>
      <c r="T36" s="60">
        <f>HDD!B45</f>
        <v>0</v>
      </c>
      <c r="U36" s="60">
        <f>CDD!B36</f>
        <v>0</v>
      </c>
      <c r="V36" s="60"/>
      <c r="W36" s="59">
        <f t="shared" ref="W36" si="30">G36+M36</f>
        <v>665.19630823322598</v>
      </c>
      <c r="X36" s="59">
        <f t="shared" ref="X36" si="31">H36+P36</f>
        <v>1281.1755347201874</v>
      </c>
      <c r="Y36" s="59"/>
      <c r="Z36" s="59">
        <f t="shared" ref="Z36" si="32">D36+R36</f>
        <v>2.2703150000000001</v>
      </c>
      <c r="AA36" s="61">
        <f t="shared" ref="AA36" si="33">E36+S36</f>
        <v>4.3726520999999998</v>
      </c>
    </row>
    <row r="37" spans="1:27">
      <c r="M37" s="11"/>
    </row>
    <row r="38" spans="1:27">
      <c r="C38" s="16">
        <f>SUM(C26:C31)</f>
        <v>219</v>
      </c>
      <c r="M38" s="16">
        <f>SUM(M26:M31)</f>
        <v>1798</v>
      </c>
      <c r="W38" s="11" t="s">
        <v>18</v>
      </c>
      <c r="X38" s="11" t="s">
        <v>21</v>
      </c>
      <c r="Z38" s="11" t="s">
        <v>19</v>
      </c>
      <c r="AA38" s="11" t="s">
        <v>20</v>
      </c>
    </row>
    <row r="40" spans="1:27">
      <c r="A40" s="11" t="s">
        <v>89</v>
      </c>
      <c r="E40" s="16">
        <f>SUM(E26:E31)</f>
        <v>22.929300000000001</v>
      </c>
      <c r="S40" s="16">
        <f>SUM(S26:S31)</f>
        <v>20.496157159999996</v>
      </c>
      <c r="U40" s="11" t="s">
        <v>56</v>
      </c>
      <c r="W40" s="16">
        <f>SUM(W26:W31)</f>
        <v>8214.6422502197493</v>
      </c>
      <c r="X40" s="16">
        <f>SUM(X26:X31)</f>
        <v>12723.544435980079</v>
      </c>
      <c r="Z40" s="16">
        <f>SUM(Z26:Z31)</f>
        <v>28.036573999999998</v>
      </c>
      <c r="AA40" s="16">
        <f>SUM(AA26:AA31)</f>
        <v>43.425457159999993</v>
      </c>
    </row>
  </sheetData>
  <mergeCells count="1">
    <mergeCell ref="K7:L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2"/>
  <sheetViews>
    <sheetView topLeftCell="A12" workbookViewId="0">
      <selection activeCell="E8" sqref="E8"/>
    </sheetView>
  </sheetViews>
  <sheetFormatPr defaultRowHeight="15"/>
  <cols>
    <col min="1" max="1" width="13.140625" bestFit="1" customWidth="1"/>
  </cols>
  <sheetData>
    <row r="1" spans="1:5">
      <c r="A1" s="11" t="s">
        <v>7</v>
      </c>
      <c r="B1" s="11" t="s">
        <v>8</v>
      </c>
      <c r="C1" s="11"/>
    </row>
    <row r="2" spans="1:5">
      <c r="A2" s="11" t="s">
        <v>9</v>
      </c>
      <c r="B2" s="11" t="s">
        <v>10</v>
      </c>
      <c r="C2" s="11"/>
    </row>
    <row r="3" spans="1:5">
      <c r="A3" s="11" t="s">
        <v>11</v>
      </c>
      <c r="B3" s="11" t="s">
        <v>12</v>
      </c>
      <c r="C3" s="11"/>
    </row>
    <row r="4" spans="1:5">
      <c r="A4" s="11" t="s">
        <v>13</v>
      </c>
      <c r="B4" s="11" t="s">
        <v>37</v>
      </c>
      <c r="C4" s="11"/>
    </row>
    <row r="5" spans="1:5">
      <c r="A5" s="11" t="s">
        <v>14</v>
      </c>
      <c r="B5" s="11" t="s">
        <v>38</v>
      </c>
      <c r="C5" s="11"/>
    </row>
    <row r="6" spans="1:5">
      <c r="A6" s="11"/>
      <c r="B6" s="11"/>
      <c r="C6" s="11"/>
    </row>
    <row r="7" spans="1:5">
      <c r="A7" s="11" t="s">
        <v>15</v>
      </c>
      <c r="B7" s="11" t="s">
        <v>1</v>
      </c>
      <c r="C7" s="11" t="s">
        <v>16</v>
      </c>
    </row>
    <row r="8" spans="1:5" s="11" customFormat="1">
      <c r="A8" s="12">
        <v>40057</v>
      </c>
      <c r="B8" s="11">
        <v>158</v>
      </c>
      <c r="C8" s="11">
        <v>11</v>
      </c>
      <c r="E8" s="11" t="s">
        <v>74</v>
      </c>
    </row>
    <row r="9" spans="1:5" s="9" customFormat="1">
      <c r="A9" s="12">
        <v>40087</v>
      </c>
      <c r="B9" s="11">
        <v>412</v>
      </c>
      <c r="C9" s="11">
        <v>0.03</v>
      </c>
    </row>
    <row r="10" spans="1:5" s="4" customFormat="1">
      <c r="A10" s="12">
        <v>40118</v>
      </c>
      <c r="B10" s="11">
        <v>485</v>
      </c>
      <c r="C10" s="11">
        <v>0</v>
      </c>
    </row>
    <row r="11" spans="1:5">
      <c r="A11" s="12">
        <v>40148</v>
      </c>
      <c r="B11" s="11">
        <v>988</v>
      </c>
      <c r="C11" s="11">
        <v>0</v>
      </c>
    </row>
    <row r="12" spans="1:5">
      <c r="A12" s="12">
        <v>40179</v>
      </c>
      <c r="B12" s="11">
        <v>1096</v>
      </c>
      <c r="C12" s="11">
        <v>0</v>
      </c>
    </row>
    <row r="13" spans="1:5">
      <c r="A13" s="12">
        <v>40210</v>
      </c>
      <c r="B13" s="11">
        <v>901</v>
      </c>
      <c r="C13" s="11">
        <v>0</v>
      </c>
    </row>
    <row r="14" spans="1:5">
      <c r="A14" s="12">
        <v>40238</v>
      </c>
      <c r="B14" s="11">
        <v>658</v>
      </c>
      <c r="C14" s="11">
        <v>0</v>
      </c>
    </row>
    <row r="15" spans="1:5">
      <c r="A15" s="12">
        <v>40269</v>
      </c>
      <c r="B15" s="11">
        <v>385</v>
      </c>
      <c r="C15" s="11">
        <v>0</v>
      </c>
    </row>
    <row r="16" spans="1:5">
      <c r="A16" s="12">
        <v>40299</v>
      </c>
      <c r="B16" s="11">
        <v>172</v>
      </c>
      <c r="C16" s="11">
        <v>0.1</v>
      </c>
    </row>
    <row r="17" spans="1:3">
      <c r="A17" s="12">
        <v>40330</v>
      </c>
      <c r="B17" s="11">
        <v>42</v>
      </c>
      <c r="C17" s="11">
        <v>0</v>
      </c>
    </row>
    <row r="18" spans="1:3">
      <c r="A18" s="12">
        <v>40360</v>
      </c>
      <c r="B18" s="11">
        <v>3</v>
      </c>
      <c r="C18" s="11">
        <v>0.1</v>
      </c>
    </row>
    <row r="19" spans="1:3">
      <c r="A19" s="12">
        <v>40391</v>
      </c>
      <c r="B19" s="11">
        <v>10</v>
      </c>
      <c r="C19" s="11">
        <v>0.2</v>
      </c>
    </row>
    <row r="20" spans="1:3">
      <c r="A20" s="12">
        <v>40422</v>
      </c>
      <c r="B20" s="11">
        <v>55</v>
      </c>
      <c r="C20" s="11">
        <v>0</v>
      </c>
    </row>
    <row r="21" spans="1:3">
      <c r="A21" s="12">
        <v>40452</v>
      </c>
      <c r="B21" s="11">
        <v>320</v>
      </c>
      <c r="C21" s="11">
        <v>0.06</v>
      </c>
    </row>
    <row r="22" spans="1:3">
      <c r="A22" s="12">
        <v>40483</v>
      </c>
      <c r="B22" s="11">
        <v>608</v>
      </c>
      <c r="C22" s="11">
        <v>0.03</v>
      </c>
    </row>
    <row r="23" spans="1:3">
      <c r="A23" s="12">
        <v>40513</v>
      </c>
      <c r="B23" s="11">
        <v>1010</v>
      </c>
      <c r="C23" s="11">
        <v>0.2</v>
      </c>
    </row>
    <row r="24" spans="1:3">
      <c r="A24" s="12">
        <v>40544</v>
      </c>
      <c r="B24" s="11">
        <v>1154</v>
      </c>
      <c r="C24" s="11">
        <v>0</v>
      </c>
    </row>
    <row r="25" spans="1:3">
      <c r="A25" s="12">
        <v>40575</v>
      </c>
      <c r="B25" s="11">
        <v>964</v>
      </c>
      <c r="C25" s="11">
        <v>0</v>
      </c>
    </row>
    <row r="26" spans="1:3">
      <c r="A26" s="12">
        <v>40603</v>
      </c>
      <c r="B26" s="11">
        <v>813</v>
      </c>
      <c r="C26" s="11">
        <v>0</v>
      </c>
    </row>
    <row r="27" spans="1:3">
      <c r="A27" s="12">
        <v>40634</v>
      </c>
      <c r="B27" s="11">
        <v>468</v>
      </c>
      <c r="C27" s="11">
        <v>0.03</v>
      </c>
    </row>
    <row r="28" spans="1:3">
      <c r="A28" s="12">
        <v>40664</v>
      </c>
      <c r="B28" s="11">
        <v>255</v>
      </c>
      <c r="C28" s="11">
        <v>0.03</v>
      </c>
    </row>
    <row r="29" spans="1:3">
      <c r="A29" s="12">
        <v>40695</v>
      </c>
      <c r="B29" s="11">
        <v>75</v>
      </c>
      <c r="C29" s="11">
        <v>0</v>
      </c>
    </row>
    <row r="30" spans="1:3">
      <c r="A30" s="12">
        <v>40725</v>
      </c>
      <c r="B30" s="11">
        <v>0</v>
      </c>
      <c r="C30" s="11">
        <v>0.03</v>
      </c>
    </row>
    <row r="31" spans="1:3">
      <c r="A31" s="12">
        <v>40756</v>
      </c>
      <c r="B31" s="11">
        <v>2</v>
      </c>
      <c r="C31" s="11">
        <v>0</v>
      </c>
    </row>
    <row r="32" spans="1:3">
      <c r="A32" s="12">
        <v>40787</v>
      </c>
      <c r="B32" s="11">
        <v>57</v>
      </c>
      <c r="C32" s="11">
        <v>7.0000000000000007E-2</v>
      </c>
    </row>
    <row r="33" spans="1:3">
      <c r="A33" s="12">
        <v>40817</v>
      </c>
      <c r="B33" s="11">
        <v>267</v>
      </c>
      <c r="C33" s="11">
        <v>0</v>
      </c>
    </row>
    <row r="34" spans="1:3">
      <c r="A34" s="12">
        <v>40848</v>
      </c>
      <c r="B34" s="11">
        <v>449</v>
      </c>
      <c r="C34" s="11">
        <v>0</v>
      </c>
    </row>
    <row r="35" spans="1:3">
      <c r="A35" s="12">
        <v>40878</v>
      </c>
      <c r="B35" s="11">
        <v>764</v>
      </c>
      <c r="C35" s="11">
        <v>0</v>
      </c>
    </row>
    <row r="36" spans="1:3">
      <c r="A36" s="12">
        <v>40909</v>
      </c>
      <c r="B36" s="11">
        <v>959</v>
      </c>
      <c r="C36" s="11">
        <v>0</v>
      </c>
    </row>
    <row r="37" spans="1:3">
      <c r="A37" s="12">
        <v>40940</v>
      </c>
      <c r="B37" s="11">
        <v>801</v>
      </c>
      <c r="C37" s="11">
        <v>0</v>
      </c>
    </row>
    <row r="38" spans="1:3">
      <c r="A38" s="12">
        <v>40969</v>
      </c>
      <c r="B38" s="11">
        <v>608</v>
      </c>
      <c r="C38" s="11">
        <v>0</v>
      </c>
    </row>
    <row r="39" spans="1:3">
      <c r="A39" s="12">
        <v>41000</v>
      </c>
      <c r="B39" s="11">
        <v>398</v>
      </c>
      <c r="C39" s="11">
        <v>0.03</v>
      </c>
    </row>
    <row r="40" spans="1:3">
      <c r="A40" s="12">
        <v>41030</v>
      </c>
      <c r="B40" s="11">
        <v>204</v>
      </c>
      <c r="C40" s="11">
        <v>0</v>
      </c>
    </row>
    <row r="41" spans="1:3">
      <c r="A41" s="12">
        <v>41061</v>
      </c>
      <c r="B41" s="11">
        <v>94</v>
      </c>
      <c r="C41" s="11">
        <v>0.03</v>
      </c>
    </row>
    <row r="42" spans="1:3">
      <c r="A42" s="12">
        <v>41091</v>
      </c>
      <c r="B42" s="11">
        <v>2</v>
      </c>
      <c r="C42" s="11"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3"/>
  <sheetViews>
    <sheetView topLeftCell="A3" workbookViewId="0">
      <selection activeCell="F35" sqref="F35"/>
    </sheetView>
  </sheetViews>
  <sheetFormatPr defaultRowHeight="15"/>
  <cols>
    <col min="1" max="1" width="13.140625" bestFit="1" customWidth="1"/>
  </cols>
  <sheetData>
    <row r="1" spans="1:3">
      <c r="A1" s="4" t="s">
        <v>7</v>
      </c>
      <c r="B1" s="4" t="s">
        <v>17</v>
      </c>
      <c r="C1" s="4"/>
    </row>
    <row r="2" spans="1:3">
      <c r="A2" s="4" t="s">
        <v>9</v>
      </c>
      <c r="B2" s="4" t="s">
        <v>10</v>
      </c>
      <c r="C2" s="4"/>
    </row>
    <row r="3" spans="1:3">
      <c r="A3" s="4" t="s">
        <v>11</v>
      </c>
      <c r="B3" s="4" t="s">
        <v>12</v>
      </c>
      <c r="C3" s="4"/>
    </row>
    <row r="4" spans="1:3">
      <c r="A4" s="4" t="s">
        <v>13</v>
      </c>
      <c r="B4" s="4" t="s">
        <v>37</v>
      </c>
      <c r="C4" s="4"/>
    </row>
    <row r="5" spans="1:3">
      <c r="A5" s="4" t="s">
        <v>14</v>
      </c>
      <c r="B5" s="4" t="s">
        <v>38</v>
      </c>
      <c r="C5" s="4"/>
    </row>
    <row r="7" spans="1:3">
      <c r="A7" s="4" t="s">
        <v>15</v>
      </c>
      <c r="B7" s="4" t="s">
        <v>6</v>
      </c>
      <c r="C7" s="4" t="s">
        <v>16</v>
      </c>
    </row>
    <row r="8" spans="1:3" s="7" customFormat="1">
      <c r="A8" s="10">
        <v>40330</v>
      </c>
      <c r="B8" s="9">
        <v>185</v>
      </c>
      <c r="C8" s="7">
        <v>0</v>
      </c>
    </row>
    <row r="9" spans="1:3" s="6" customFormat="1">
      <c r="A9" s="8">
        <v>40360</v>
      </c>
      <c r="B9" s="7">
        <v>365</v>
      </c>
      <c r="C9" s="6">
        <v>0.1</v>
      </c>
    </row>
    <row r="10" spans="1:3">
      <c r="A10" s="5">
        <v>40391</v>
      </c>
      <c r="B10" s="4">
        <v>263</v>
      </c>
      <c r="C10" s="4">
        <v>0.2</v>
      </c>
    </row>
    <row r="11" spans="1:3">
      <c r="A11" s="5">
        <v>40422</v>
      </c>
      <c r="B11" s="4">
        <v>151</v>
      </c>
      <c r="C11" s="4">
        <v>0</v>
      </c>
    </row>
    <row r="12" spans="1:3">
      <c r="A12" s="5">
        <v>40452</v>
      </c>
      <c r="B12" s="4">
        <v>18</v>
      </c>
      <c r="C12" s="4">
        <v>0.06</v>
      </c>
    </row>
    <row r="13" spans="1:3">
      <c r="A13" s="5">
        <v>40483</v>
      </c>
      <c r="B13" s="4">
        <v>0</v>
      </c>
      <c r="C13" s="4">
        <v>0.03</v>
      </c>
    </row>
    <row r="14" spans="1:3">
      <c r="A14" s="5">
        <v>40513</v>
      </c>
      <c r="B14" s="4">
        <v>0</v>
      </c>
      <c r="C14" s="4">
        <v>0.2</v>
      </c>
    </row>
    <row r="15" spans="1:3">
      <c r="A15" s="5">
        <v>40544</v>
      </c>
      <c r="B15" s="4">
        <v>0</v>
      </c>
      <c r="C15" s="4">
        <v>0</v>
      </c>
    </row>
    <row r="16" spans="1:3">
      <c r="A16" s="5">
        <v>40575</v>
      </c>
      <c r="B16" s="4">
        <v>0</v>
      </c>
      <c r="C16" s="4">
        <v>0</v>
      </c>
    </row>
    <row r="17" spans="1:3">
      <c r="A17" s="5">
        <v>40603</v>
      </c>
      <c r="B17" s="4">
        <v>1</v>
      </c>
      <c r="C17" s="4">
        <v>0</v>
      </c>
    </row>
    <row r="18" spans="1:3">
      <c r="A18" s="5">
        <v>40634</v>
      </c>
      <c r="B18" s="4">
        <v>8</v>
      </c>
      <c r="C18" s="4">
        <v>0.03</v>
      </c>
    </row>
    <row r="19" spans="1:3">
      <c r="A19" s="5">
        <v>40664</v>
      </c>
      <c r="B19" s="4">
        <v>50</v>
      </c>
      <c r="C19" s="4">
        <v>0.03</v>
      </c>
    </row>
    <row r="20" spans="1:3">
      <c r="A20" s="5">
        <v>40695</v>
      </c>
      <c r="B20" s="4">
        <v>130</v>
      </c>
      <c r="C20" s="4">
        <v>0</v>
      </c>
    </row>
    <row r="21" spans="1:3">
      <c r="A21" s="5">
        <v>40725</v>
      </c>
      <c r="B21" s="4">
        <v>374</v>
      </c>
      <c r="C21" s="4">
        <v>0.03</v>
      </c>
    </row>
    <row r="22" spans="1:3">
      <c r="A22" s="12">
        <v>40756</v>
      </c>
      <c r="B22">
        <v>260</v>
      </c>
      <c r="C22">
        <v>0</v>
      </c>
    </row>
    <row r="23" spans="1:3">
      <c r="A23" s="12">
        <v>40787</v>
      </c>
      <c r="B23">
        <v>115</v>
      </c>
      <c r="C23">
        <v>7.0000000000000007E-2</v>
      </c>
    </row>
    <row r="24" spans="1:3">
      <c r="A24" s="12">
        <v>40817</v>
      </c>
      <c r="B24">
        <v>29</v>
      </c>
      <c r="C24">
        <v>0</v>
      </c>
    </row>
    <row r="25" spans="1:3">
      <c r="A25" s="12">
        <v>40848</v>
      </c>
      <c r="B25">
        <v>1</v>
      </c>
      <c r="C25">
        <v>0</v>
      </c>
    </row>
    <row r="26" spans="1:3">
      <c r="A26" s="12">
        <v>40878</v>
      </c>
      <c r="B26">
        <v>0</v>
      </c>
      <c r="C26">
        <v>0</v>
      </c>
    </row>
    <row r="27" spans="1:3">
      <c r="A27" s="12">
        <v>40909</v>
      </c>
      <c r="B27">
        <v>0</v>
      </c>
      <c r="C27">
        <v>0</v>
      </c>
    </row>
    <row r="28" spans="1:3">
      <c r="A28" s="12">
        <v>40940</v>
      </c>
      <c r="B28">
        <v>0</v>
      </c>
      <c r="C28">
        <v>0</v>
      </c>
    </row>
    <row r="29" spans="1:3">
      <c r="A29" s="12">
        <v>40969</v>
      </c>
      <c r="B29">
        <v>18</v>
      </c>
      <c r="C29">
        <v>0</v>
      </c>
    </row>
    <row r="30" spans="1:3">
      <c r="A30" s="12">
        <v>41000</v>
      </c>
      <c r="B30">
        <v>25</v>
      </c>
      <c r="C30">
        <v>0.03</v>
      </c>
    </row>
    <row r="31" spans="1:3">
      <c r="A31" s="12">
        <v>41030</v>
      </c>
      <c r="B31">
        <v>42</v>
      </c>
      <c r="C31">
        <v>0</v>
      </c>
    </row>
    <row r="32" spans="1:3">
      <c r="A32" s="12">
        <v>41061</v>
      </c>
      <c r="B32">
        <v>142</v>
      </c>
      <c r="C32">
        <v>0.03</v>
      </c>
    </row>
    <row r="33" spans="1:3">
      <c r="A33" s="12">
        <v>41091</v>
      </c>
      <c r="B33">
        <v>304</v>
      </c>
      <c r="C33">
        <v>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4"/>
  <sheetViews>
    <sheetView topLeftCell="A4" workbookViewId="0">
      <selection activeCell="S23" sqref="S23"/>
    </sheetView>
  </sheetViews>
  <sheetFormatPr defaultRowHeight="15"/>
  <cols>
    <col min="4" max="5" width="9.140625" style="11"/>
    <col min="19" max="19" width="11.5703125" bestFit="1" customWidth="1"/>
  </cols>
  <sheetData>
    <row r="1" spans="1:19">
      <c r="A1" s="11" t="s">
        <v>58</v>
      </c>
      <c r="B1" s="11"/>
      <c r="C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9">
      <c r="A2" s="11"/>
      <c r="B2" s="11"/>
      <c r="C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9">
      <c r="A3" s="11"/>
      <c r="B3" s="11"/>
      <c r="C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9">
      <c r="A4" s="11"/>
      <c r="B4" s="11"/>
      <c r="C4" s="11" t="s">
        <v>66</v>
      </c>
      <c r="F4" s="11" t="str">
        <f>HDD!B4</f>
        <v>Boston, MA, US (71.00W,42.36N)</v>
      </c>
      <c r="G4" s="11"/>
      <c r="H4" s="11"/>
      <c r="I4" s="11"/>
      <c r="J4" s="84" t="s">
        <v>63</v>
      </c>
      <c r="K4" s="84"/>
      <c r="L4" s="84"/>
      <c r="M4" s="62"/>
      <c r="N4" s="11"/>
      <c r="O4" s="11"/>
    </row>
    <row r="5" spans="1:19" ht="26.25">
      <c r="A5" s="11" t="s">
        <v>59</v>
      </c>
      <c r="B5" s="11" t="s">
        <v>60</v>
      </c>
      <c r="C5" s="11" t="s">
        <v>69</v>
      </c>
      <c r="F5" s="11" t="s">
        <v>61</v>
      </c>
      <c r="G5" s="11" t="s">
        <v>62</v>
      </c>
      <c r="H5" s="11"/>
      <c r="I5" s="11"/>
      <c r="J5" s="63"/>
      <c r="K5" s="63" t="s">
        <v>64</v>
      </c>
      <c r="L5" s="63" t="s">
        <v>65</v>
      </c>
      <c r="M5" s="64"/>
      <c r="N5" s="11"/>
      <c r="O5" s="11"/>
    </row>
    <row r="6" spans="1:19">
      <c r="A6" s="11"/>
      <c r="B6" s="11"/>
      <c r="C6" s="11"/>
      <c r="D6" s="11" t="s">
        <v>67</v>
      </c>
      <c r="E6" s="11" t="s">
        <v>68</v>
      </c>
      <c r="F6" s="11"/>
      <c r="G6" s="11"/>
      <c r="H6" s="11"/>
      <c r="I6" s="11"/>
      <c r="J6" s="62"/>
      <c r="K6" s="62"/>
      <c r="L6" s="62"/>
      <c r="M6" s="62" t="s">
        <v>70</v>
      </c>
      <c r="N6" s="11" t="s">
        <v>70</v>
      </c>
      <c r="O6" s="11"/>
      <c r="P6" s="11" t="s">
        <v>70</v>
      </c>
      <c r="R6" s="11" t="s">
        <v>90</v>
      </c>
    </row>
    <row r="7" spans="1:19">
      <c r="A7" s="11"/>
      <c r="B7" s="11"/>
      <c r="C7" s="11"/>
      <c r="F7" s="11"/>
      <c r="G7" s="11"/>
      <c r="H7" s="11"/>
      <c r="I7" s="11"/>
      <c r="J7" s="65"/>
      <c r="K7" s="66"/>
      <c r="L7" s="66"/>
      <c r="M7" s="66" t="s">
        <v>71</v>
      </c>
      <c r="N7" s="11" t="s">
        <v>72</v>
      </c>
      <c r="O7" s="11"/>
      <c r="P7" s="11" t="s">
        <v>73</v>
      </c>
      <c r="R7" s="11" t="s">
        <v>72</v>
      </c>
      <c r="S7" s="11" t="s">
        <v>73</v>
      </c>
    </row>
    <row r="8" spans="1:19">
      <c r="A8" s="1">
        <f>'Energy Use'!B19</f>
        <v>40735</v>
      </c>
      <c r="B8" s="11"/>
      <c r="C8" s="16"/>
      <c r="D8" s="16">
        <v>0</v>
      </c>
      <c r="E8" s="16">
        <v>0</v>
      </c>
      <c r="F8" s="11">
        <f>CDD!B21</f>
        <v>374</v>
      </c>
      <c r="G8" s="11">
        <f>HDD!B30</f>
        <v>0</v>
      </c>
      <c r="H8" s="16"/>
      <c r="I8" s="11"/>
      <c r="J8" s="67"/>
      <c r="K8" s="68">
        <v>284</v>
      </c>
      <c r="L8" s="68">
        <v>3</v>
      </c>
      <c r="M8" s="69"/>
      <c r="N8" s="11"/>
      <c r="O8" s="11"/>
    </row>
    <row r="9" spans="1:19">
      <c r="A9" s="1">
        <f>'Energy Use'!B20</f>
        <v>40766</v>
      </c>
      <c r="B9" s="11"/>
      <c r="C9" s="16"/>
      <c r="D9" s="16">
        <v>0</v>
      </c>
      <c r="E9" s="16">
        <v>0</v>
      </c>
      <c r="F9" s="11">
        <f>CDD!B22</f>
        <v>260</v>
      </c>
      <c r="G9" s="11">
        <f>HDD!B31</f>
        <v>2</v>
      </c>
      <c r="H9" s="16"/>
      <c r="I9" s="11"/>
      <c r="J9" s="70"/>
      <c r="K9" s="69">
        <v>193</v>
      </c>
      <c r="L9" s="69">
        <v>5</v>
      </c>
      <c r="M9" s="78">
        <f t="shared" ref="M9:M14" si="0">0.0073*L9+1.0712</f>
        <v>1.1076999999999999</v>
      </c>
      <c r="N9" s="11"/>
      <c r="O9" s="11"/>
      <c r="R9" s="81"/>
      <c r="S9" s="31"/>
    </row>
    <row r="10" spans="1:19">
      <c r="A10" s="1">
        <f>'Energy Use'!B21</f>
        <v>40797</v>
      </c>
      <c r="B10" s="11"/>
      <c r="C10" s="16"/>
      <c r="D10" s="16">
        <v>0</v>
      </c>
      <c r="E10" s="16">
        <v>0</v>
      </c>
      <c r="F10" s="11">
        <f>CDD!B23</f>
        <v>115</v>
      </c>
      <c r="G10" s="11">
        <f>HDD!B32</f>
        <v>57</v>
      </c>
      <c r="H10" s="16"/>
      <c r="I10" s="11"/>
      <c r="J10" s="70"/>
      <c r="K10" s="69">
        <v>53</v>
      </c>
      <c r="L10" s="69">
        <v>66</v>
      </c>
      <c r="M10" s="79">
        <f t="shared" si="0"/>
        <v>1.5529999999999999</v>
      </c>
      <c r="N10" s="11"/>
      <c r="O10" s="11"/>
      <c r="R10" s="46"/>
      <c r="S10" s="33"/>
    </row>
    <row r="11" spans="1:19">
      <c r="A11" s="1">
        <f>'Energy Use'!B22</f>
        <v>40827</v>
      </c>
      <c r="B11" s="11"/>
      <c r="C11" s="16"/>
      <c r="D11" s="16">
        <v>0</v>
      </c>
      <c r="E11" s="16">
        <v>0</v>
      </c>
      <c r="F11" s="11">
        <f>CDD!B24</f>
        <v>29</v>
      </c>
      <c r="G11" s="11">
        <f>HDD!B33</f>
        <v>267</v>
      </c>
      <c r="H11" s="16"/>
      <c r="I11" s="11"/>
      <c r="J11" s="71"/>
      <c r="K11" s="66">
        <v>9</v>
      </c>
      <c r="L11" s="66">
        <v>348</v>
      </c>
      <c r="M11" s="79">
        <f t="shared" si="0"/>
        <v>3.6116000000000001</v>
      </c>
      <c r="N11" s="11"/>
      <c r="O11" s="11"/>
      <c r="R11" s="46"/>
      <c r="S11" s="33"/>
    </row>
    <row r="12" spans="1:19">
      <c r="A12" s="1">
        <f>'Energy Use'!B23</f>
        <v>40858</v>
      </c>
      <c r="B12" s="11"/>
      <c r="C12" s="16"/>
      <c r="D12" s="16">
        <v>0</v>
      </c>
      <c r="E12" s="16">
        <v>0</v>
      </c>
      <c r="F12" s="11">
        <f>CDD!B25</f>
        <v>1</v>
      </c>
      <c r="G12" s="11">
        <f>HDD!B34</f>
        <v>449</v>
      </c>
      <c r="H12" s="16"/>
      <c r="I12" s="11"/>
      <c r="J12" s="71"/>
      <c r="K12" s="66">
        <v>0</v>
      </c>
      <c r="L12" s="66">
        <v>652</v>
      </c>
      <c r="M12" s="79">
        <f t="shared" si="0"/>
        <v>5.8308</v>
      </c>
      <c r="N12" s="11"/>
      <c r="O12" s="11"/>
      <c r="R12" s="46"/>
      <c r="S12" s="33"/>
    </row>
    <row r="13" spans="1:19">
      <c r="A13" s="1">
        <f>'Energy Use'!B24</f>
        <v>40888</v>
      </c>
      <c r="B13" s="11"/>
      <c r="C13" s="16"/>
      <c r="D13" s="16">
        <v>0</v>
      </c>
      <c r="E13" s="16">
        <v>0</v>
      </c>
      <c r="F13" s="11">
        <f>CDD!B26</f>
        <v>0</v>
      </c>
      <c r="G13" s="11">
        <f>HDD!B35</f>
        <v>764</v>
      </c>
      <c r="H13" s="16"/>
      <c r="I13" s="11"/>
      <c r="J13" s="71"/>
      <c r="K13" s="66">
        <v>0</v>
      </c>
      <c r="L13" s="66">
        <v>902</v>
      </c>
      <c r="M13" s="79">
        <f t="shared" si="0"/>
        <v>7.6558000000000002</v>
      </c>
      <c r="N13" s="11"/>
      <c r="O13" s="11"/>
      <c r="R13" s="46"/>
      <c r="S13" s="33"/>
    </row>
    <row r="14" spans="1:19">
      <c r="A14" s="1">
        <f>'Energy Use'!B25</f>
        <v>40920</v>
      </c>
      <c r="B14" s="11"/>
      <c r="C14" s="16"/>
      <c r="D14" s="16">
        <v>0</v>
      </c>
      <c r="E14" s="16">
        <v>0</v>
      </c>
      <c r="F14" s="11">
        <f>CDD!B27</f>
        <v>0</v>
      </c>
      <c r="G14" s="11">
        <f>HDD!B36</f>
        <v>959</v>
      </c>
      <c r="H14" s="16"/>
      <c r="I14" s="11"/>
      <c r="J14" s="71"/>
      <c r="K14" s="66">
        <v>0</v>
      </c>
      <c r="L14" s="66">
        <v>1189</v>
      </c>
      <c r="M14" s="80">
        <f t="shared" si="0"/>
        <v>9.7508999999999997</v>
      </c>
      <c r="N14" s="11"/>
      <c r="O14" s="11"/>
      <c r="R14" s="39">
        <f>SUM(M9:M14)+SUM(D15:D20)</f>
        <v>35.646374000000002</v>
      </c>
      <c r="S14" s="41">
        <f>SUM(M9:M14)*'Energy Use'!$E$5+SUM(D15:D20)*'Energy Use'!$E$4</f>
        <v>51.392917759999996</v>
      </c>
    </row>
    <row r="15" spans="1:19">
      <c r="A15" s="1">
        <f>'Energy Use'!B26</f>
        <v>40940</v>
      </c>
      <c r="B15" s="11"/>
      <c r="C15" s="16"/>
      <c r="D15" s="16">
        <f>'Energy Use'!R26</f>
        <v>1.16042</v>
      </c>
      <c r="E15" s="16">
        <f>'Energy Use'!D26</f>
        <v>6.8000000000000007</v>
      </c>
      <c r="F15" s="11">
        <f>CDD!B28</f>
        <v>0</v>
      </c>
      <c r="G15" s="11">
        <f>HDD!B37</f>
        <v>801</v>
      </c>
      <c r="H15" s="16"/>
      <c r="I15" s="11"/>
      <c r="J15" s="71"/>
      <c r="K15" s="66">
        <v>0</v>
      </c>
      <c r="L15" s="66">
        <v>950</v>
      </c>
      <c r="M15" s="74">
        <f>0.0073*L15+1.0712</f>
        <v>8.0061999999999998</v>
      </c>
      <c r="N15" s="16">
        <f>D15+M15</f>
        <v>9.16662</v>
      </c>
      <c r="O15" s="11"/>
      <c r="P15" s="16">
        <f>D15*'Energy Use'!$E$4+M15*'Energy Use'!$E$5</f>
        <v>12.258294199999998</v>
      </c>
      <c r="R15" s="46"/>
      <c r="S15" s="33"/>
    </row>
    <row r="16" spans="1:19">
      <c r="A16" s="1">
        <f>'Energy Use'!B27</f>
        <v>40969</v>
      </c>
      <c r="B16" s="11"/>
      <c r="C16" s="16"/>
      <c r="D16" s="16">
        <f>'Energy Use'!R27</f>
        <v>0.90785799999999994</v>
      </c>
      <c r="E16" s="16">
        <f>'Energy Use'!D27</f>
        <v>5.9</v>
      </c>
      <c r="F16" s="11">
        <f>CDD!B29</f>
        <v>18</v>
      </c>
      <c r="G16" s="11">
        <f>HDD!B38</f>
        <v>608</v>
      </c>
      <c r="H16" s="16"/>
      <c r="I16" s="11"/>
      <c r="J16" s="71"/>
      <c r="K16" s="66">
        <v>0</v>
      </c>
      <c r="L16" s="66">
        <v>813</v>
      </c>
      <c r="M16" s="74">
        <f t="shared" ref="M16:M20" si="1">0.0073*L16+1.0712</f>
        <v>7.0061</v>
      </c>
      <c r="N16" s="16">
        <f t="shared" ref="N16:N20" si="2">D16+M16</f>
        <v>7.913958</v>
      </c>
      <c r="O16" s="11"/>
      <c r="P16" s="16">
        <f>D16*'Energy Use'!$E$4+M16*'Energy Use'!$E$5</f>
        <v>10.36763242</v>
      </c>
      <c r="R16" s="46"/>
      <c r="S16" s="33"/>
    </row>
    <row r="17" spans="1:19">
      <c r="A17" s="1">
        <f>'Energy Use'!B28</f>
        <v>41000</v>
      </c>
      <c r="B17" s="11"/>
      <c r="C17" s="16"/>
      <c r="D17" s="16">
        <f>'Energy Use'!R28</f>
        <v>0.87031499999999995</v>
      </c>
      <c r="E17" s="16">
        <f>'Energy Use'!D28</f>
        <v>4</v>
      </c>
      <c r="F17" s="11">
        <f>CDD!B30</f>
        <v>25</v>
      </c>
      <c r="G17" s="11">
        <f>HDD!B39</f>
        <v>398</v>
      </c>
      <c r="H17" s="16"/>
      <c r="I17" s="11"/>
      <c r="J17" s="71"/>
      <c r="K17" s="66">
        <v>9</v>
      </c>
      <c r="L17" s="66">
        <v>537</v>
      </c>
      <c r="M17" s="74">
        <f t="shared" si="1"/>
        <v>4.9912999999999998</v>
      </c>
      <c r="N17" s="16">
        <f t="shared" si="2"/>
        <v>5.8616149999999996</v>
      </c>
      <c r="O17" s="11"/>
      <c r="P17" s="16">
        <f>D17*'Energy Use'!$E$4+M17*'Energy Use'!$E$5</f>
        <v>8.1327431999999984</v>
      </c>
      <c r="R17" s="46"/>
      <c r="S17" s="33"/>
    </row>
    <row r="18" spans="1:19">
      <c r="A18" s="1">
        <f>'Energy Use'!B29</f>
        <v>41030</v>
      </c>
      <c r="B18" s="11"/>
      <c r="C18" s="16"/>
      <c r="D18" s="16">
        <f>'Energy Use'!R29</f>
        <v>1.0477909999999999</v>
      </c>
      <c r="E18" s="16">
        <f>'Energy Use'!D29</f>
        <v>2.1</v>
      </c>
      <c r="F18" s="11">
        <f>CDD!B31</f>
        <v>42</v>
      </c>
      <c r="G18" s="11">
        <f>HDD!B40</f>
        <v>204</v>
      </c>
      <c r="H18" s="16"/>
      <c r="I18" s="11"/>
      <c r="J18" s="71"/>
      <c r="K18" s="66">
        <v>30</v>
      </c>
      <c r="L18" s="66">
        <v>204</v>
      </c>
      <c r="M18" s="74">
        <f t="shared" si="1"/>
        <v>2.5604</v>
      </c>
      <c r="N18" s="16">
        <f t="shared" si="2"/>
        <v>3.6081909999999997</v>
      </c>
      <c r="O18" s="11"/>
      <c r="P18" s="16">
        <f>D18*'Energy Use'!$E$4+M18*'Energy Use'!$E$5</f>
        <v>6.1803607399999994</v>
      </c>
      <c r="R18" s="46"/>
      <c r="S18" s="33"/>
    </row>
    <row r="19" spans="1:19">
      <c r="A19" s="1">
        <f>'Energy Use'!B30</f>
        <v>41061</v>
      </c>
      <c r="B19" s="11"/>
      <c r="C19" s="16"/>
      <c r="D19" s="16">
        <f>'Energy Use'!R30</f>
        <v>1.0750949999999999</v>
      </c>
      <c r="E19" s="16">
        <f>'Energy Use'!D30</f>
        <v>1.7000000000000002</v>
      </c>
      <c r="F19" s="11">
        <f>CDD!B32</f>
        <v>142</v>
      </c>
      <c r="G19" s="11">
        <f>HDD!B41</f>
        <v>94</v>
      </c>
      <c r="H19" s="16"/>
      <c r="I19" s="11"/>
      <c r="J19" s="71"/>
      <c r="K19" s="66">
        <v>116</v>
      </c>
      <c r="L19" s="66">
        <v>87</v>
      </c>
      <c r="M19" s="74">
        <f t="shared" si="1"/>
        <v>1.7062999999999999</v>
      </c>
      <c r="N19" s="16">
        <f t="shared" si="2"/>
        <v>2.7813949999999998</v>
      </c>
      <c r="O19" s="11"/>
      <c r="P19" s="16">
        <f>D19*'Energy Use'!$E$4+M19*'Energy Use'!$E$5</f>
        <v>5.3773133999999994</v>
      </c>
      <c r="R19" s="46"/>
      <c r="S19" s="33"/>
    </row>
    <row r="20" spans="1:19">
      <c r="A20" s="1">
        <f>'Energy Use'!B31</f>
        <v>41101</v>
      </c>
      <c r="B20" s="11"/>
      <c r="C20" s="16"/>
      <c r="D20" s="16">
        <f>'Energy Use'!R31</f>
        <v>1.0750949999999999</v>
      </c>
      <c r="E20" s="16">
        <f>'Energy Use'!D31</f>
        <v>1.4000000000000001</v>
      </c>
      <c r="F20" s="11">
        <f>CDD!B33</f>
        <v>304</v>
      </c>
      <c r="G20" s="11">
        <f>HDD!B42</f>
        <v>2</v>
      </c>
      <c r="H20" s="16"/>
      <c r="I20" s="11"/>
      <c r="J20" s="67"/>
      <c r="K20" s="68">
        <v>284</v>
      </c>
      <c r="L20" s="68">
        <v>3</v>
      </c>
      <c r="M20" s="75">
        <f t="shared" si="1"/>
        <v>1.0931</v>
      </c>
      <c r="N20" s="43">
        <f t="shared" si="2"/>
        <v>2.1681949999999999</v>
      </c>
      <c r="O20" s="51"/>
      <c r="P20" s="43">
        <f>D20*'Energy Use'!$E$4+M20*'Energy Use'!$E$5</f>
        <v>4.7352929999999995</v>
      </c>
      <c r="R20" s="50"/>
      <c r="S20" s="35"/>
    </row>
    <row r="21" spans="1:19">
      <c r="A21" s="11"/>
      <c r="B21" s="11"/>
      <c r="C21" s="11"/>
      <c r="F21" s="11"/>
      <c r="G21" s="11"/>
      <c r="H21" s="11"/>
      <c r="I21" s="11"/>
      <c r="J21" s="71"/>
      <c r="K21" s="69"/>
      <c r="L21" s="69"/>
      <c r="M21" s="72"/>
      <c r="N21" s="16">
        <f>SUM(N15:N20)</f>
        <v>31.499974000000002</v>
      </c>
      <c r="O21" s="11"/>
      <c r="P21" s="16">
        <f>SUM(P15:P20)</f>
        <v>47.051636959999989</v>
      </c>
      <c r="R21" s="42"/>
      <c r="S21" s="44"/>
    </row>
    <row r="22" spans="1:19">
      <c r="A22" s="11"/>
      <c r="B22" s="11"/>
      <c r="C22" s="11"/>
      <c r="F22" s="11"/>
      <c r="G22" s="11"/>
      <c r="H22" s="11"/>
      <c r="I22" s="11"/>
      <c r="J22" s="71"/>
      <c r="K22" s="66"/>
      <c r="L22" s="66"/>
      <c r="M22" s="72"/>
      <c r="N22" s="16">
        <f>SUM(D15:D20)+SUM(E15:E20)</f>
        <v>28.036574000000002</v>
      </c>
      <c r="O22" s="11"/>
    </row>
    <row r="24" spans="1:19">
      <c r="M24" s="73"/>
      <c r="N24" s="73">
        <f>(N22-N21)/N22</f>
        <v>-0.12353149853473537</v>
      </c>
    </row>
  </sheetData>
  <mergeCells count="1">
    <mergeCell ref="J4:L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2013-03-01T21:02:58Z</dcterms:modified>
</cp:coreProperties>
</file>