
<file path=[Content_Types].xml><?xml version="1.0" encoding="utf-8"?>
<Types xmlns="http://schemas.openxmlformats.org/package/2006/content-types">
  <Default Extension="xml" ContentType="application/xml"/>
  <Default Extension="vml" ContentType="application/vnd.openxmlformats-officedocument.vmlDrawi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xml"/>
  <Override PartName="/xl/charts/chart9.xml" ContentType="application/vnd.openxmlformats-officedocument.drawingml.chart+xml"/>
  <Override PartName="/xl/drawings/drawing10.xml" ContentType="application/vnd.openxmlformats-officedocument.drawingml.chartshapes+xml"/>
  <Override PartName="/xl/drawings/drawing11.xml" ContentType="application/vnd.openxmlformats-officedocument.drawing+xml"/>
  <Override PartName="/xl/charts/chart10.xml" ContentType="application/vnd.openxmlformats-officedocument.drawingml.chart+xml"/>
  <Override PartName="/xl/drawings/drawing12.xml" ContentType="application/vnd.openxmlformats-officedocument.drawingml.chartshapes+xml"/>
  <Override PartName="/xl/charts/chart11.xml" ContentType="application/vnd.openxmlformats-officedocument.drawingml.chart+xml"/>
  <Override PartName="/xl/drawings/drawing13.xml" ContentType="application/vnd.openxmlformats-officedocument.drawingml.chartshapes+xml"/>
  <Override PartName="/xl/charts/chart12.xml" ContentType="application/vnd.openxmlformats-officedocument.drawingml.chart+xml"/>
  <Override PartName="/xl/drawings/drawing14.xml" ContentType="application/vnd.openxmlformats-officedocument.drawingml.chartshapes+xml"/>
  <Override PartName="/xl/drawings/drawing15.xml" ContentType="application/vnd.openxmlformats-officedocument.drawing+xml"/>
  <Override PartName="/xl/charts/chart13.xml" ContentType="application/vnd.openxmlformats-officedocument.drawingml.chart+xml"/>
  <Override PartName="/xl/drawings/drawing16.xml" ContentType="application/vnd.openxmlformats-officedocument.drawingml.chartshapes+xml"/>
  <Override PartName="/xl/charts/chart14.xml" ContentType="application/vnd.openxmlformats-officedocument.drawingml.chart+xml"/>
  <Override PartName="/xl/drawings/drawing17.xml" ContentType="application/vnd.openxmlformats-officedocument.drawingml.chartshapes+xml"/>
  <Override PartName="/xl/drawings/drawing18.xml" ContentType="application/vnd.openxmlformats-officedocument.drawing+xml"/>
  <Override PartName="/xl/charts/chart15.xml" ContentType="application/vnd.openxmlformats-officedocument.drawingml.chart+xml"/>
  <Override PartName="/xl/drawings/drawing19.xml" ContentType="application/vnd.openxmlformats-officedocument.drawingml.chartshapes+xml"/>
  <Override PartName="/xl/charts/chart16.xml" ContentType="application/vnd.openxmlformats-officedocument.drawingml.chart+xml"/>
  <Override PartName="/xl/drawings/drawing20.xml" ContentType="application/vnd.openxmlformats-officedocument.drawingml.chartshapes+xml"/>
  <Override PartName="/xl/drawings/drawing21.xml" ContentType="application/vnd.openxmlformats-officedocument.drawing+xml"/>
  <Override PartName="/xl/charts/chart17.xml" ContentType="application/vnd.openxmlformats-officedocument.drawingml.chart+xml"/>
  <Override PartName="/xl/drawings/drawing22.xml" ContentType="application/vnd.openxmlformats-officedocument.drawingml.chartshapes+xml"/>
  <Override PartName="/xl/charts/chart18.xml" ContentType="application/vnd.openxmlformats-officedocument.drawingml.chart+xml"/>
  <Override PartName="/xl/drawings/drawing23.xml" ContentType="application/vnd.openxmlformats-officedocument.drawingml.chartshapes+xml"/>
  <Override PartName="/xl/drawings/drawing24.xml" ContentType="application/vnd.openxmlformats-officedocument.drawing+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drawings/drawing25.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4" rupBuild="23117"/>
  <workbookPr autoCompressPictures="0"/>
  <bookViews>
    <workbookView xWindow="160" yWindow="880" windowWidth="27080" windowHeight="15280" activeTab="6"/>
  </bookViews>
  <sheets>
    <sheet name="BaseLine Data" sheetId="20" r:id="rId1"/>
    <sheet name="Charts" sheetId="1" r:id="rId2"/>
    <sheet name="Total CFM 50 Sort" sheetId="23" r:id="rId3"/>
    <sheet name="Ext Insul" sheetId="28" r:id="rId4"/>
    <sheet name="Spray Foam Use " sheetId="33" r:id="rId5"/>
    <sheet name="Spray Foam Air Barrier" sheetId="27" r:id="rId6"/>
    <sheet name="Unvented vs Vented Attic" sheetId="30" r:id="rId7"/>
    <sheet name="Basement Treatment" sheetId="32" r:id="rId8"/>
    <sheet name="Sheet2" sheetId="2" r:id="rId9"/>
    <sheet name="Sheet3" sheetId="3" r:id="rId10"/>
  </sheets>
  <externalReferences>
    <externalReference r:id="rId11"/>
  </externalReferences>
  <calcPr calcId="14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V34" i="30" l="1"/>
  <c r="V33" i="30"/>
  <c r="V31" i="30"/>
  <c r="V30" i="30"/>
  <c r="V29" i="30"/>
  <c r="V32" i="30"/>
  <c r="V28" i="30"/>
  <c r="V27" i="30"/>
  <c r="V25" i="30"/>
  <c r="V26" i="30"/>
  <c r="V24" i="30"/>
  <c r="V23" i="30"/>
  <c r="K25" i="30"/>
  <c r="K28" i="30"/>
  <c r="U10" i="20"/>
  <c r="U10" i="30"/>
  <c r="S10" i="20"/>
  <c r="S10" i="30"/>
  <c r="W10" i="30"/>
  <c r="U17" i="20"/>
  <c r="U11" i="30"/>
  <c r="S17" i="20"/>
  <c r="S11" i="30"/>
  <c r="W11" i="30"/>
  <c r="U13" i="20"/>
  <c r="U12" i="30"/>
  <c r="S13" i="20"/>
  <c r="S12" i="30"/>
  <c r="W12" i="30"/>
  <c r="U11" i="20"/>
  <c r="U13" i="30"/>
  <c r="S11" i="20"/>
  <c r="S13" i="30"/>
  <c r="W13" i="30"/>
  <c r="U15" i="20"/>
  <c r="U14" i="30"/>
  <c r="S15" i="20"/>
  <c r="S14" i="30"/>
  <c r="W14" i="30"/>
  <c r="U20" i="20"/>
  <c r="U15" i="30"/>
  <c r="S15" i="30"/>
  <c r="W15" i="30"/>
  <c r="U12" i="20"/>
  <c r="U16" i="30"/>
  <c r="S12" i="20"/>
  <c r="S16" i="30"/>
  <c r="W16" i="30"/>
  <c r="U19" i="20"/>
  <c r="U17" i="30"/>
  <c r="S19" i="20"/>
  <c r="S17" i="30"/>
  <c r="W17" i="30"/>
  <c r="U9" i="20"/>
  <c r="U18" i="30"/>
  <c r="S9" i="20"/>
  <c r="S18" i="30"/>
  <c r="W18" i="30"/>
  <c r="K32" i="30"/>
  <c r="U12" i="33"/>
  <c r="S12" i="33"/>
  <c r="W12" i="33"/>
  <c r="U13" i="33"/>
  <c r="S13" i="33"/>
  <c r="W13" i="33"/>
  <c r="U14" i="33"/>
  <c r="S14" i="33"/>
  <c r="W14" i="33"/>
  <c r="U15" i="33"/>
  <c r="S15" i="33"/>
  <c r="W15" i="33"/>
  <c r="U16" i="20"/>
  <c r="U16" i="33"/>
  <c r="S16" i="20"/>
  <c r="S16" i="33"/>
  <c r="W16" i="33"/>
  <c r="U17" i="33"/>
  <c r="S17" i="33"/>
  <c r="W17" i="33"/>
  <c r="W28" i="33"/>
  <c r="U9" i="27"/>
  <c r="S9" i="27"/>
  <c r="W9" i="27"/>
  <c r="U18" i="20"/>
  <c r="U10" i="27"/>
  <c r="S18" i="20"/>
  <c r="S10" i="27"/>
  <c r="W10" i="27"/>
  <c r="U11" i="27"/>
  <c r="S11" i="27"/>
  <c r="W11" i="27"/>
  <c r="U12" i="27"/>
  <c r="S12" i="27"/>
  <c r="W12" i="27"/>
  <c r="U13" i="27"/>
  <c r="S13" i="27"/>
  <c r="W13" i="27"/>
  <c r="U14" i="27"/>
  <c r="S14" i="27"/>
  <c r="W14" i="27"/>
  <c r="W26" i="27"/>
  <c r="AG14" i="27"/>
  <c r="AG10" i="27"/>
  <c r="U21" i="28"/>
  <c r="S21" i="28"/>
  <c r="W21" i="28"/>
  <c r="AF21" i="28"/>
  <c r="U18" i="28"/>
  <c r="S18" i="28"/>
  <c r="W18" i="28"/>
  <c r="AF18" i="28"/>
  <c r="U17" i="28"/>
  <c r="S17" i="28"/>
  <c r="W17" i="28"/>
  <c r="AF17" i="28"/>
  <c r="U16" i="28"/>
  <c r="S16" i="28"/>
  <c r="W16" i="28"/>
  <c r="AF16" i="28"/>
  <c r="U15" i="28"/>
  <c r="S15" i="28"/>
  <c r="W15" i="28"/>
  <c r="AF15" i="28"/>
  <c r="U13" i="28"/>
  <c r="S13" i="28"/>
  <c r="W13" i="28"/>
  <c r="AF13" i="28"/>
  <c r="U12" i="28"/>
  <c r="S12" i="28"/>
  <c r="W12" i="28"/>
  <c r="AF12" i="28"/>
  <c r="U11" i="28"/>
  <c r="S11" i="28"/>
  <c r="W11" i="28"/>
  <c r="AF11" i="28"/>
  <c r="U10" i="28"/>
  <c r="S10" i="28"/>
  <c r="W10" i="28"/>
  <c r="AF10" i="28"/>
  <c r="U21" i="20"/>
  <c r="U9" i="28"/>
  <c r="S21" i="20"/>
  <c r="S9" i="28"/>
  <c r="W9" i="28"/>
  <c r="AF9" i="28"/>
  <c r="U19" i="28"/>
  <c r="S19" i="28"/>
  <c r="W19" i="28"/>
  <c r="AE19" i="28"/>
  <c r="U14" i="20"/>
  <c r="U20" i="28"/>
  <c r="S14" i="20"/>
  <c r="S20" i="28"/>
  <c r="W20" i="28"/>
  <c r="AD20" i="28"/>
  <c r="U14" i="28"/>
  <c r="S14" i="28"/>
  <c r="W14" i="28"/>
  <c r="AD14" i="28"/>
  <c r="AG21" i="33"/>
  <c r="AG20" i="33"/>
  <c r="AG19" i="33"/>
  <c r="AG17" i="33"/>
  <c r="AG13" i="33"/>
  <c r="AG11" i="33"/>
  <c r="AG9" i="33"/>
  <c r="W32" i="28"/>
  <c r="W31" i="28"/>
  <c r="U9" i="30"/>
  <c r="S9" i="30"/>
  <c r="W9" i="30"/>
  <c r="K31" i="30"/>
  <c r="U20" i="30"/>
  <c r="S20" i="30"/>
  <c r="W20" i="30"/>
  <c r="U21" i="30"/>
  <c r="S21" i="30"/>
  <c r="W21" i="30"/>
  <c r="K30" i="30"/>
  <c r="K27" i="30"/>
  <c r="W30" i="28"/>
  <c r="W27" i="28"/>
  <c r="W26" i="28"/>
  <c r="AC21" i="33"/>
  <c r="AB21" i="33"/>
  <c r="U21" i="33"/>
  <c r="T17" i="20"/>
  <c r="T21" i="33"/>
  <c r="S21" i="33"/>
  <c r="R17" i="20"/>
  <c r="R21" i="33"/>
  <c r="Q17" i="20"/>
  <c r="Q21" i="33"/>
  <c r="P17" i="20"/>
  <c r="P21" i="33"/>
  <c r="O17" i="20"/>
  <c r="O21" i="33"/>
  <c r="N17" i="20"/>
  <c r="N21" i="33"/>
  <c r="M17" i="20"/>
  <c r="M21" i="33"/>
  <c r="L17" i="20"/>
  <c r="L21" i="33"/>
  <c r="K17" i="20"/>
  <c r="K21" i="33"/>
  <c r="J17" i="20"/>
  <c r="J21" i="33"/>
  <c r="I17" i="20"/>
  <c r="I21" i="33"/>
  <c r="H17" i="20"/>
  <c r="H21" i="33"/>
  <c r="G17" i="20"/>
  <c r="G21" i="33"/>
  <c r="F17" i="20"/>
  <c r="F21" i="33"/>
  <c r="E17" i="20"/>
  <c r="E21" i="33"/>
  <c r="D17" i="20"/>
  <c r="D21" i="33"/>
  <c r="C17" i="20"/>
  <c r="C21" i="33"/>
  <c r="AC20" i="33"/>
  <c r="AB20" i="33"/>
  <c r="U20" i="33"/>
  <c r="T10" i="20"/>
  <c r="T20" i="33"/>
  <c r="S20" i="33"/>
  <c r="R10" i="20"/>
  <c r="R20" i="33"/>
  <c r="Q10" i="20"/>
  <c r="Q20" i="33"/>
  <c r="P10" i="20"/>
  <c r="P20" i="33"/>
  <c r="O10" i="20"/>
  <c r="O20" i="33"/>
  <c r="N10" i="20"/>
  <c r="N20" i="33"/>
  <c r="M10" i="20"/>
  <c r="M20" i="33"/>
  <c r="L10" i="20"/>
  <c r="L20" i="33"/>
  <c r="K10" i="20"/>
  <c r="K20" i="33"/>
  <c r="J10" i="20"/>
  <c r="J20" i="33"/>
  <c r="I10" i="20"/>
  <c r="I20" i="33"/>
  <c r="H10" i="20"/>
  <c r="H20" i="33"/>
  <c r="G10" i="20"/>
  <c r="G20" i="33"/>
  <c r="F10" i="20"/>
  <c r="F20" i="33"/>
  <c r="E10" i="20"/>
  <c r="E20" i="33"/>
  <c r="D10" i="20"/>
  <c r="D20" i="33"/>
  <c r="C10" i="20"/>
  <c r="C20" i="33"/>
  <c r="AC19" i="33"/>
  <c r="AB19" i="33"/>
  <c r="U19" i="33"/>
  <c r="T21" i="20"/>
  <c r="T19" i="33"/>
  <c r="S19" i="33"/>
  <c r="R21" i="20"/>
  <c r="R19" i="33"/>
  <c r="Q21" i="20"/>
  <c r="Q19" i="33"/>
  <c r="P21" i="20"/>
  <c r="P19" i="33"/>
  <c r="O21" i="20"/>
  <c r="O19" i="33"/>
  <c r="N21" i="20"/>
  <c r="N19" i="33"/>
  <c r="M21" i="20"/>
  <c r="M19" i="33"/>
  <c r="L21" i="20"/>
  <c r="L19" i="33"/>
  <c r="K21" i="20"/>
  <c r="K19" i="33"/>
  <c r="J21" i="20"/>
  <c r="J19" i="33"/>
  <c r="I21" i="20"/>
  <c r="I19" i="33"/>
  <c r="H21" i="20"/>
  <c r="H19" i="33"/>
  <c r="G21" i="20"/>
  <c r="G19" i="33"/>
  <c r="F21" i="20"/>
  <c r="F19" i="33"/>
  <c r="E21" i="20"/>
  <c r="E19" i="33"/>
  <c r="D21" i="20"/>
  <c r="D19" i="33"/>
  <c r="C21" i="20"/>
  <c r="C19" i="33"/>
  <c r="AC18" i="33"/>
  <c r="AB18" i="33"/>
  <c r="U18" i="33"/>
  <c r="T14" i="20"/>
  <c r="T18" i="33"/>
  <c r="S18" i="33"/>
  <c r="R14" i="20"/>
  <c r="R18" i="33"/>
  <c r="Q14" i="20"/>
  <c r="Q18" i="33"/>
  <c r="P14" i="20"/>
  <c r="P18" i="33"/>
  <c r="O14" i="20"/>
  <c r="O18" i="33"/>
  <c r="N14" i="20"/>
  <c r="N18" i="33"/>
  <c r="M14" i="20"/>
  <c r="M18" i="33"/>
  <c r="L14" i="20"/>
  <c r="L18" i="33"/>
  <c r="K14" i="20"/>
  <c r="K18" i="33"/>
  <c r="J14" i="20"/>
  <c r="J18" i="33"/>
  <c r="I14" i="20"/>
  <c r="I18" i="33"/>
  <c r="H14" i="20"/>
  <c r="H18" i="33"/>
  <c r="G14" i="20"/>
  <c r="G18" i="33"/>
  <c r="F14" i="20"/>
  <c r="F18" i="33"/>
  <c r="E14" i="20"/>
  <c r="E18" i="33"/>
  <c r="D14" i="20"/>
  <c r="D18" i="33"/>
  <c r="C14" i="20"/>
  <c r="C18" i="33"/>
  <c r="AC17" i="33"/>
  <c r="AB17" i="33"/>
  <c r="T15" i="20"/>
  <c r="T17" i="33"/>
  <c r="R15" i="20"/>
  <c r="R17" i="33"/>
  <c r="Q15" i="20"/>
  <c r="Q17" i="33"/>
  <c r="P15" i="20"/>
  <c r="P17" i="33"/>
  <c r="O15" i="20"/>
  <c r="O17" i="33"/>
  <c r="N15" i="20"/>
  <c r="N17" i="33"/>
  <c r="M15" i="20"/>
  <c r="M17" i="33"/>
  <c r="L15" i="20"/>
  <c r="L17" i="33"/>
  <c r="K15" i="20"/>
  <c r="K17" i="33"/>
  <c r="J15" i="20"/>
  <c r="J17" i="33"/>
  <c r="I15" i="20"/>
  <c r="I17" i="33"/>
  <c r="H15" i="20"/>
  <c r="H17" i="33"/>
  <c r="G15" i="20"/>
  <c r="G17" i="33"/>
  <c r="F15" i="20"/>
  <c r="F17" i="33"/>
  <c r="E15" i="20"/>
  <c r="E17" i="33"/>
  <c r="D15" i="20"/>
  <c r="D17" i="33"/>
  <c r="C15" i="20"/>
  <c r="C17" i="33"/>
  <c r="AC16" i="33"/>
  <c r="AB16" i="33"/>
  <c r="T16" i="20"/>
  <c r="T16" i="33"/>
  <c r="R16" i="20"/>
  <c r="R16" i="33"/>
  <c r="Q16" i="20"/>
  <c r="Q16" i="33"/>
  <c r="P16" i="20"/>
  <c r="P16" i="33"/>
  <c r="O16" i="20"/>
  <c r="O16" i="33"/>
  <c r="N16" i="20"/>
  <c r="N16" i="33"/>
  <c r="M16" i="20"/>
  <c r="M16" i="33"/>
  <c r="L16" i="20"/>
  <c r="L16" i="33"/>
  <c r="K16" i="20"/>
  <c r="K16" i="33"/>
  <c r="J16" i="20"/>
  <c r="J16" i="33"/>
  <c r="I16" i="20"/>
  <c r="I16" i="33"/>
  <c r="H16" i="20"/>
  <c r="H16" i="33"/>
  <c r="G16" i="20"/>
  <c r="G16" i="33"/>
  <c r="F16" i="20"/>
  <c r="F16" i="33"/>
  <c r="E16" i="20"/>
  <c r="E16" i="33"/>
  <c r="D16" i="20"/>
  <c r="D16" i="33"/>
  <c r="C16" i="20"/>
  <c r="C16" i="33"/>
  <c r="AC15" i="33"/>
  <c r="AB15" i="33"/>
  <c r="T19" i="20"/>
  <c r="T15" i="33"/>
  <c r="R19" i="20"/>
  <c r="R15" i="33"/>
  <c r="Q19" i="20"/>
  <c r="Q15" i="33"/>
  <c r="P19" i="20"/>
  <c r="P15" i="33"/>
  <c r="O19" i="20"/>
  <c r="O15" i="33"/>
  <c r="N19" i="20"/>
  <c r="N15" i="33"/>
  <c r="M19" i="20"/>
  <c r="M15" i="33"/>
  <c r="L19" i="20"/>
  <c r="L15" i="33"/>
  <c r="K19" i="20"/>
  <c r="K15" i="33"/>
  <c r="J19" i="20"/>
  <c r="J15" i="33"/>
  <c r="I19" i="20"/>
  <c r="I15" i="33"/>
  <c r="H19" i="20"/>
  <c r="H15" i="33"/>
  <c r="G19" i="20"/>
  <c r="G15" i="33"/>
  <c r="F19" i="20"/>
  <c r="F15" i="33"/>
  <c r="E19" i="20"/>
  <c r="E15" i="33"/>
  <c r="D19" i="20"/>
  <c r="D15" i="33"/>
  <c r="C19" i="20"/>
  <c r="C15" i="33"/>
  <c r="AC14" i="33"/>
  <c r="AB14" i="33"/>
  <c r="T12" i="20"/>
  <c r="T14" i="33"/>
  <c r="R12" i="20"/>
  <c r="R14" i="33"/>
  <c r="Q12" i="20"/>
  <c r="Q14" i="33"/>
  <c r="P12" i="20"/>
  <c r="P14" i="33"/>
  <c r="O12" i="20"/>
  <c r="O14" i="33"/>
  <c r="N12" i="20"/>
  <c r="N14" i="33"/>
  <c r="M12" i="20"/>
  <c r="M14" i="33"/>
  <c r="L12" i="20"/>
  <c r="L14" i="33"/>
  <c r="K12" i="20"/>
  <c r="K14" i="33"/>
  <c r="J12" i="20"/>
  <c r="J14" i="33"/>
  <c r="I12" i="20"/>
  <c r="I14" i="33"/>
  <c r="H12" i="20"/>
  <c r="H14" i="33"/>
  <c r="G12" i="20"/>
  <c r="G14" i="33"/>
  <c r="F12" i="20"/>
  <c r="F14" i="33"/>
  <c r="E12" i="20"/>
  <c r="E14" i="33"/>
  <c r="D12" i="20"/>
  <c r="D14" i="33"/>
  <c r="C12" i="20"/>
  <c r="C14" i="33"/>
  <c r="AC13" i="33"/>
  <c r="AB13" i="33"/>
  <c r="T11" i="20"/>
  <c r="T13" i="33"/>
  <c r="R11" i="20"/>
  <c r="R13" i="33"/>
  <c r="Q11" i="20"/>
  <c r="Q13" i="33"/>
  <c r="P11" i="20"/>
  <c r="P13" i="33"/>
  <c r="O11" i="20"/>
  <c r="O13" i="33"/>
  <c r="N11" i="20"/>
  <c r="N13" i="33"/>
  <c r="M11" i="20"/>
  <c r="M13" i="33"/>
  <c r="L11" i="20"/>
  <c r="L13" i="33"/>
  <c r="K11" i="20"/>
  <c r="K13" i="33"/>
  <c r="J11" i="20"/>
  <c r="J13" i="33"/>
  <c r="I11" i="20"/>
  <c r="I13" i="33"/>
  <c r="H11" i="20"/>
  <c r="H13" i="33"/>
  <c r="G11" i="20"/>
  <c r="G13" i="33"/>
  <c r="E11" i="20"/>
  <c r="F13" i="33"/>
  <c r="E13" i="33"/>
  <c r="D11" i="20"/>
  <c r="D13" i="33"/>
  <c r="C11" i="20"/>
  <c r="C13" i="33"/>
  <c r="AC12" i="33"/>
  <c r="AB12" i="33"/>
  <c r="T20" i="20"/>
  <c r="T12" i="33"/>
  <c r="R20" i="20"/>
  <c r="R12" i="33"/>
  <c r="Q20" i="20"/>
  <c r="Q12" i="33"/>
  <c r="P20" i="20"/>
  <c r="P12" i="33"/>
  <c r="O20" i="20"/>
  <c r="O12" i="33"/>
  <c r="N20" i="20"/>
  <c r="N12" i="33"/>
  <c r="M20" i="20"/>
  <c r="M12" i="33"/>
  <c r="L20" i="20"/>
  <c r="L12" i="33"/>
  <c r="K20" i="20"/>
  <c r="K12" i="33"/>
  <c r="J20" i="20"/>
  <c r="J12" i="33"/>
  <c r="I20" i="20"/>
  <c r="I12" i="33"/>
  <c r="H20" i="20"/>
  <c r="H12" i="33"/>
  <c r="G20" i="20"/>
  <c r="G12" i="33"/>
  <c r="F20" i="20"/>
  <c r="F12" i="33"/>
  <c r="E20" i="20"/>
  <c r="E12" i="33"/>
  <c r="D20" i="20"/>
  <c r="D12" i="33"/>
  <c r="C20" i="20"/>
  <c r="C12" i="33"/>
  <c r="AC11" i="33"/>
  <c r="AB11" i="33"/>
  <c r="U11" i="33"/>
  <c r="T9" i="20"/>
  <c r="T11" i="33"/>
  <c r="S11" i="33"/>
  <c r="R9" i="20"/>
  <c r="R11" i="33"/>
  <c r="Q9" i="20"/>
  <c r="Q11" i="33"/>
  <c r="P9" i="20"/>
  <c r="P11" i="33"/>
  <c r="O9" i="20"/>
  <c r="O11" i="33"/>
  <c r="N9" i="20"/>
  <c r="N11" i="33"/>
  <c r="M9" i="20"/>
  <c r="M11" i="33"/>
  <c r="L9" i="20"/>
  <c r="L11" i="33"/>
  <c r="K9" i="20"/>
  <c r="K11" i="33"/>
  <c r="J9" i="20"/>
  <c r="J11" i="33"/>
  <c r="I9" i="20"/>
  <c r="I11" i="33"/>
  <c r="H9" i="20"/>
  <c r="H11" i="33"/>
  <c r="G9" i="20"/>
  <c r="G11" i="33"/>
  <c r="F9" i="20"/>
  <c r="F11" i="33"/>
  <c r="E9" i="20"/>
  <c r="E11" i="33"/>
  <c r="D9" i="20"/>
  <c r="D11" i="33"/>
  <c r="C9" i="20"/>
  <c r="C11" i="33"/>
  <c r="AC10" i="33"/>
  <c r="AB10" i="33"/>
  <c r="U10" i="33"/>
  <c r="T18" i="20"/>
  <c r="T10" i="33"/>
  <c r="S10" i="33"/>
  <c r="R18" i="20"/>
  <c r="R10" i="33"/>
  <c r="Q18" i="20"/>
  <c r="Q10" i="33"/>
  <c r="P18" i="20"/>
  <c r="P10" i="33"/>
  <c r="O18" i="20"/>
  <c r="O10" i="33"/>
  <c r="N18" i="20"/>
  <c r="N10" i="33"/>
  <c r="M18" i="20"/>
  <c r="M10" i="33"/>
  <c r="L18" i="20"/>
  <c r="L10" i="33"/>
  <c r="K18" i="20"/>
  <c r="K10" i="33"/>
  <c r="J18" i="20"/>
  <c r="J10" i="33"/>
  <c r="I18" i="20"/>
  <c r="I10" i="33"/>
  <c r="H18" i="20"/>
  <c r="H10" i="33"/>
  <c r="G18" i="20"/>
  <c r="G10" i="33"/>
  <c r="F18" i="20"/>
  <c r="F10" i="33"/>
  <c r="E18" i="20"/>
  <c r="E10" i="33"/>
  <c r="D18" i="20"/>
  <c r="D10" i="33"/>
  <c r="C18" i="20"/>
  <c r="C10" i="33"/>
  <c r="AC9" i="33"/>
  <c r="AB9" i="33"/>
  <c r="U9" i="33"/>
  <c r="T13" i="20"/>
  <c r="T9" i="33"/>
  <c r="S9" i="33"/>
  <c r="R13" i="20"/>
  <c r="R9" i="33"/>
  <c r="Q13" i="20"/>
  <c r="Q9" i="33"/>
  <c r="P13" i="20"/>
  <c r="P9" i="33"/>
  <c r="X9" i="33"/>
  <c r="O13" i="20"/>
  <c r="O9" i="33"/>
  <c r="N13" i="20"/>
  <c r="N9" i="33"/>
  <c r="Z9" i="33"/>
  <c r="M13" i="20"/>
  <c r="M9" i="33"/>
  <c r="L13" i="20"/>
  <c r="L9" i="33"/>
  <c r="K13" i="20"/>
  <c r="K9" i="33"/>
  <c r="J13" i="20"/>
  <c r="J9" i="33"/>
  <c r="I13" i="20"/>
  <c r="I9" i="33"/>
  <c r="H13" i="20"/>
  <c r="H9" i="33"/>
  <c r="G13" i="20"/>
  <c r="G9" i="33"/>
  <c r="F13" i="20"/>
  <c r="F9" i="33"/>
  <c r="E13" i="20"/>
  <c r="E9" i="33"/>
  <c r="D13" i="20"/>
  <c r="D9" i="33"/>
  <c r="C13" i="20"/>
  <c r="C9" i="33"/>
  <c r="AC7" i="33"/>
  <c r="AB7" i="33"/>
  <c r="AA7" i="33"/>
  <c r="Z7" i="33"/>
  <c r="Y7" i="33"/>
  <c r="X7" i="33"/>
  <c r="W7" i="33"/>
  <c r="V7" i="33"/>
  <c r="U7" i="33"/>
  <c r="T7" i="33"/>
  <c r="S7" i="33"/>
  <c r="R7" i="33"/>
  <c r="Q7" i="33"/>
  <c r="P7" i="33"/>
  <c r="O7" i="33"/>
  <c r="N7" i="33"/>
  <c r="M7" i="33"/>
  <c r="L7" i="33"/>
  <c r="K7" i="33"/>
  <c r="J7" i="33"/>
  <c r="I7" i="33"/>
  <c r="H7" i="33"/>
  <c r="G7" i="33"/>
  <c r="F7" i="33"/>
  <c r="E7" i="33"/>
  <c r="D7" i="33"/>
  <c r="C7" i="33"/>
  <c r="AS14" i="20"/>
  <c r="AB14" i="23"/>
  <c r="AS16" i="20"/>
  <c r="AB16" i="23"/>
  <c r="AS15" i="20"/>
  <c r="AB15" i="23"/>
  <c r="AS20" i="20"/>
  <c r="AB20" i="23"/>
  <c r="AS13" i="20"/>
  <c r="AB13" i="23"/>
  <c r="AS19" i="20"/>
  <c r="AB19" i="23"/>
  <c r="AS10" i="20"/>
  <c r="AB10" i="23"/>
  <c r="AS12" i="20"/>
  <c r="AB12" i="23"/>
  <c r="AS17" i="20"/>
  <c r="AB17" i="23"/>
  <c r="AS9" i="20"/>
  <c r="AB9" i="23"/>
  <c r="AS11" i="20"/>
  <c r="AB11" i="23"/>
  <c r="AS18" i="20"/>
  <c r="AB18" i="23"/>
  <c r="AS21" i="20"/>
  <c r="AB21" i="23"/>
  <c r="AB7" i="23"/>
  <c r="AB10" i="32"/>
  <c r="AB11" i="32"/>
  <c r="AB18" i="32"/>
  <c r="AB17" i="32"/>
  <c r="AB15" i="32"/>
  <c r="AB20" i="32"/>
  <c r="AB21" i="32"/>
  <c r="AB9" i="32"/>
  <c r="AB16" i="32"/>
  <c r="AB12" i="32"/>
  <c r="AB13" i="32"/>
  <c r="AB14" i="32"/>
  <c r="AB19" i="32"/>
  <c r="AB7" i="32"/>
  <c r="AC7" i="32"/>
  <c r="AA7" i="32"/>
  <c r="Z7" i="32"/>
  <c r="Y7" i="32"/>
  <c r="X7" i="32"/>
  <c r="W7" i="32"/>
  <c r="V7" i="32"/>
  <c r="U7" i="32"/>
  <c r="T7" i="32"/>
  <c r="S7" i="32"/>
  <c r="R7" i="32"/>
  <c r="Q7" i="32"/>
  <c r="P7" i="32"/>
  <c r="O7" i="32"/>
  <c r="N7" i="32"/>
  <c r="M7" i="32"/>
  <c r="L7" i="32"/>
  <c r="K7" i="32"/>
  <c r="J7" i="32"/>
  <c r="I7" i="32"/>
  <c r="H7" i="32"/>
  <c r="G7" i="32"/>
  <c r="F7" i="32"/>
  <c r="E7" i="32"/>
  <c r="D7" i="32"/>
  <c r="C7" i="32"/>
  <c r="AC18" i="30"/>
  <c r="AC19" i="30"/>
  <c r="AC21" i="30"/>
  <c r="AC17" i="30"/>
  <c r="AC16" i="30"/>
  <c r="AC20" i="30"/>
  <c r="AC15" i="30"/>
  <c r="AC14" i="30"/>
  <c r="AC13" i="30"/>
  <c r="AC12" i="30"/>
  <c r="AC11" i="30"/>
  <c r="AC10" i="30"/>
  <c r="AC9" i="30"/>
  <c r="AC7" i="30"/>
  <c r="AB18" i="30"/>
  <c r="AB19" i="30"/>
  <c r="AB21" i="30"/>
  <c r="AB17" i="30"/>
  <c r="AB16" i="30"/>
  <c r="AB20" i="30"/>
  <c r="AB15" i="30"/>
  <c r="AB14" i="30"/>
  <c r="AB13" i="30"/>
  <c r="AB12" i="30"/>
  <c r="AB11" i="30"/>
  <c r="AB10" i="30"/>
  <c r="AB9" i="30"/>
  <c r="AB7" i="30"/>
  <c r="AA7" i="30"/>
  <c r="Z7" i="30"/>
  <c r="Y7" i="30"/>
  <c r="X7" i="30"/>
  <c r="W7" i="30"/>
  <c r="V7" i="30"/>
  <c r="U7" i="30"/>
  <c r="T7" i="30"/>
  <c r="S7" i="30"/>
  <c r="R7" i="30"/>
  <c r="Q7" i="30"/>
  <c r="P7" i="30"/>
  <c r="O7" i="30"/>
  <c r="N7" i="30"/>
  <c r="M7" i="30"/>
  <c r="L7" i="30"/>
  <c r="K7" i="30"/>
  <c r="J7" i="30"/>
  <c r="I7" i="30"/>
  <c r="H7" i="30"/>
  <c r="G7" i="30"/>
  <c r="F7" i="30"/>
  <c r="E7" i="30"/>
  <c r="D7" i="30"/>
  <c r="C7" i="30"/>
  <c r="AB7" i="1"/>
  <c r="AC9" i="28"/>
  <c r="AC15" i="28"/>
  <c r="AC18" i="28"/>
  <c r="AC16" i="28"/>
  <c r="AC11" i="28"/>
  <c r="AC19" i="28"/>
  <c r="AC14" i="28"/>
  <c r="AC20" i="28"/>
  <c r="AC12" i="28"/>
  <c r="AC17" i="28"/>
  <c r="AC13" i="28"/>
  <c r="AC10" i="28"/>
  <c r="AC21" i="28"/>
  <c r="AB9" i="28"/>
  <c r="AB15" i="28"/>
  <c r="AB18" i="28"/>
  <c r="AB16" i="28"/>
  <c r="AB11" i="28"/>
  <c r="AB19" i="28"/>
  <c r="AB14" i="28"/>
  <c r="AB20" i="28"/>
  <c r="AB12" i="28"/>
  <c r="AB17" i="28"/>
  <c r="AB13" i="28"/>
  <c r="AB10" i="28"/>
  <c r="AB21" i="28"/>
  <c r="AC7" i="28"/>
  <c r="AB7" i="28"/>
  <c r="AA7" i="28"/>
  <c r="Z7" i="28"/>
  <c r="Y7" i="28"/>
  <c r="X7" i="28"/>
  <c r="W7" i="28"/>
  <c r="V7" i="28"/>
  <c r="U7" i="28"/>
  <c r="T7" i="28"/>
  <c r="S7" i="28"/>
  <c r="R7" i="28"/>
  <c r="Q7" i="28"/>
  <c r="P7" i="28"/>
  <c r="O7" i="28"/>
  <c r="N7" i="28"/>
  <c r="M7" i="28"/>
  <c r="L7" i="28"/>
  <c r="K7" i="28"/>
  <c r="J7" i="28"/>
  <c r="I7" i="28"/>
  <c r="H7" i="28"/>
  <c r="G7" i="28"/>
  <c r="F7" i="28"/>
  <c r="E7" i="28"/>
  <c r="D7" i="28"/>
  <c r="C7" i="28"/>
  <c r="AD18" i="27"/>
  <c r="AD17" i="27"/>
  <c r="AD16" i="27"/>
  <c r="AD15" i="27"/>
  <c r="AD21" i="27"/>
  <c r="AD14" i="27"/>
  <c r="AD12" i="27"/>
  <c r="AD11" i="27"/>
  <c r="AD20" i="27"/>
  <c r="AD9" i="27"/>
  <c r="AD13" i="27"/>
  <c r="AD10" i="27"/>
  <c r="AD19" i="27"/>
  <c r="AD7" i="27"/>
  <c r="AC18" i="27"/>
  <c r="AB18" i="27"/>
  <c r="AC17" i="27"/>
  <c r="AB17" i="27"/>
  <c r="AC16" i="27"/>
  <c r="AB16" i="27"/>
  <c r="AC15" i="27"/>
  <c r="AB15" i="27"/>
  <c r="AC21" i="27"/>
  <c r="AB21" i="27"/>
  <c r="AC14" i="27"/>
  <c r="AB14" i="27"/>
  <c r="AC12" i="27"/>
  <c r="AB12" i="27"/>
  <c r="AC11" i="27"/>
  <c r="AB11" i="27"/>
  <c r="AC20" i="27"/>
  <c r="AB20" i="27"/>
  <c r="AC9" i="27"/>
  <c r="AB9" i="27"/>
  <c r="AC13" i="27"/>
  <c r="AB13" i="27"/>
  <c r="AC10" i="27"/>
  <c r="AB10" i="27"/>
  <c r="AC19" i="27"/>
  <c r="AB19" i="27"/>
  <c r="AC7" i="27"/>
  <c r="AB7" i="27"/>
  <c r="AA7" i="27"/>
  <c r="Z7" i="27"/>
  <c r="Y7" i="27"/>
  <c r="X7" i="27"/>
  <c r="W7" i="27"/>
  <c r="V7" i="27"/>
  <c r="U7" i="27"/>
  <c r="T7" i="27"/>
  <c r="S7" i="27"/>
  <c r="R7" i="27"/>
  <c r="Q7" i="27"/>
  <c r="P7" i="27"/>
  <c r="O7" i="27"/>
  <c r="N7" i="27"/>
  <c r="M7" i="27"/>
  <c r="L7" i="27"/>
  <c r="K7" i="27"/>
  <c r="J7" i="27"/>
  <c r="I7" i="27"/>
  <c r="H7" i="27"/>
  <c r="G7" i="27"/>
  <c r="F7" i="27"/>
  <c r="E7" i="27"/>
  <c r="D7" i="27"/>
  <c r="C7" i="27"/>
  <c r="AA7" i="23"/>
  <c r="Z7" i="23"/>
  <c r="Y7" i="23"/>
  <c r="X7" i="23"/>
  <c r="W7" i="23"/>
  <c r="V7" i="23"/>
  <c r="U7" i="23"/>
  <c r="T7" i="23"/>
  <c r="S7" i="23"/>
  <c r="R7" i="23"/>
  <c r="Q7" i="23"/>
  <c r="P7" i="23"/>
  <c r="O7" i="23"/>
  <c r="N7" i="23"/>
  <c r="M7" i="23"/>
  <c r="L7" i="23"/>
  <c r="K7" i="23"/>
  <c r="J7" i="23"/>
  <c r="I7" i="23"/>
  <c r="H7" i="23"/>
  <c r="G7" i="23"/>
  <c r="F7" i="23"/>
  <c r="E7" i="23"/>
  <c r="D7" i="23"/>
  <c r="C7" i="23"/>
  <c r="AA7" i="1"/>
  <c r="Z7" i="1"/>
  <c r="Y7" i="1"/>
  <c r="X7" i="1"/>
  <c r="W7" i="1"/>
  <c r="V7" i="1"/>
  <c r="U7" i="1"/>
  <c r="T7" i="1"/>
  <c r="S7" i="1"/>
  <c r="R7" i="1"/>
  <c r="Q7" i="1"/>
  <c r="P7" i="1"/>
  <c r="O7" i="1"/>
  <c r="N7" i="1"/>
  <c r="M7" i="1"/>
  <c r="L7" i="1"/>
  <c r="K7" i="1"/>
  <c r="J7" i="1"/>
  <c r="I7" i="1"/>
  <c r="H7" i="1"/>
  <c r="G7" i="1"/>
  <c r="F7" i="1"/>
  <c r="E7" i="1"/>
  <c r="D7" i="1"/>
  <c r="C7" i="1"/>
  <c r="T9" i="30"/>
  <c r="R9" i="30"/>
  <c r="P9" i="30"/>
  <c r="N9" i="30"/>
  <c r="T17" i="30"/>
  <c r="R17" i="30"/>
  <c r="P17" i="30"/>
  <c r="N17" i="30"/>
  <c r="T11" i="30"/>
  <c r="R11" i="30"/>
  <c r="P11" i="30"/>
  <c r="N11" i="30"/>
  <c r="T14" i="30"/>
  <c r="R14" i="30"/>
  <c r="P14" i="30"/>
  <c r="N14" i="30"/>
  <c r="T12" i="30"/>
  <c r="R12" i="30"/>
  <c r="P12" i="30"/>
  <c r="N12" i="30"/>
  <c r="L9" i="30"/>
  <c r="L17" i="30"/>
  <c r="L11" i="30"/>
  <c r="L14" i="30"/>
  <c r="L12" i="30"/>
  <c r="J15" i="30"/>
  <c r="J20" i="30"/>
  <c r="J21" i="30"/>
  <c r="J19" i="30"/>
  <c r="J16" i="30"/>
  <c r="J10" i="30"/>
  <c r="K19" i="32"/>
  <c r="W17" i="20"/>
  <c r="Y10" i="20"/>
  <c r="C19" i="32"/>
  <c r="D15" i="30"/>
  <c r="D20" i="30"/>
  <c r="D21" i="30"/>
  <c r="D19" i="30"/>
  <c r="D16" i="30"/>
  <c r="D14" i="32"/>
  <c r="C13" i="32"/>
  <c r="AB15" i="1"/>
  <c r="X15" i="20"/>
  <c r="Z9" i="20"/>
  <c r="W9" i="20"/>
  <c r="V9" i="20"/>
  <c r="G19" i="32"/>
  <c r="E19" i="32"/>
  <c r="Z11" i="20"/>
  <c r="F11" i="20"/>
  <c r="AB13" i="1"/>
  <c r="Z13" i="20"/>
  <c r="AA17" i="20"/>
  <c r="Z17" i="20"/>
  <c r="Y17" i="20"/>
  <c r="X17" i="20"/>
  <c r="AA10" i="20"/>
  <c r="X10" i="20"/>
  <c r="W10" i="20"/>
  <c r="H10" i="30"/>
  <c r="F14" i="32"/>
  <c r="AB21" i="1"/>
  <c r="AA21" i="20"/>
  <c r="Z21" i="20"/>
  <c r="Y21" i="20"/>
  <c r="X21" i="20"/>
  <c r="W21" i="20"/>
  <c r="V21" i="20"/>
  <c r="H9" i="30"/>
  <c r="F9" i="30"/>
  <c r="Y14" i="20"/>
  <c r="W14" i="20"/>
  <c r="H19" i="30"/>
  <c r="F19" i="30"/>
  <c r="AA16" i="20"/>
  <c r="Y16" i="20"/>
  <c r="W16" i="20"/>
  <c r="AA19" i="20"/>
  <c r="Z19" i="20"/>
  <c r="Y19" i="20"/>
  <c r="X19" i="20"/>
  <c r="W19" i="20"/>
  <c r="V19" i="20"/>
  <c r="AA12" i="20"/>
  <c r="Y12" i="20"/>
  <c r="W12" i="20"/>
  <c r="H16" i="30"/>
  <c r="F16" i="30"/>
  <c r="AA18" i="20"/>
  <c r="Y18" i="20"/>
  <c r="W18" i="20"/>
  <c r="AA20" i="20"/>
  <c r="Y20" i="20"/>
  <c r="W20" i="20"/>
  <c r="F15" i="30"/>
  <c r="AA10" i="33"/>
  <c r="Z11" i="33"/>
  <c r="AA12" i="33"/>
  <c r="Z13" i="33"/>
  <c r="AA14" i="33"/>
  <c r="Z15" i="33"/>
  <c r="AA16" i="33"/>
  <c r="Z17" i="33"/>
  <c r="AA18" i="33"/>
  <c r="Z19" i="33"/>
  <c r="AA20" i="33"/>
  <c r="Z21" i="33"/>
  <c r="AA9" i="33"/>
  <c r="Z10" i="33"/>
  <c r="AA11" i="33"/>
  <c r="Z12" i="33"/>
  <c r="AA13" i="33"/>
  <c r="Z14" i="33"/>
  <c r="AA15" i="33"/>
  <c r="Z16" i="33"/>
  <c r="AA17" i="33"/>
  <c r="Z18" i="33"/>
  <c r="AA19" i="33"/>
  <c r="Z20" i="33"/>
  <c r="AA21" i="33"/>
  <c r="W9" i="33"/>
  <c r="AH9" i="33"/>
  <c r="Y9" i="33"/>
  <c r="V10" i="33"/>
  <c r="X10" i="33"/>
  <c r="W11" i="33"/>
  <c r="AD11" i="33"/>
  <c r="Y11" i="33"/>
  <c r="V12" i="33"/>
  <c r="X12" i="33"/>
  <c r="AH13" i="33"/>
  <c r="Y13" i="33"/>
  <c r="V14" i="33"/>
  <c r="X14" i="33"/>
  <c r="AE15" i="33"/>
  <c r="AG15" i="33"/>
  <c r="Y15" i="33"/>
  <c r="V16" i="33"/>
  <c r="X16" i="33"/>
  <c r="AH17" i="33"/>
  <c r="Y17" i="33"/>
  <c r="V18" i="33"/>
  <c r="X18" i="33"/>
  <c r="W19" i="33"/>
  <c r="Y19" i="33"/>
  <c r="V20" i="33"/>
  <c r="X20" i="33"/>
  <c r="X21" i="33"/>
  <c r="W10" i="33"/>
  <c r="AF10" i="33"/>
  <c r="AG10" i="33"/>
  <c r="Y10" i="33"/>
  <c r="V11" i="33"/>
  <c r="X11" i="33"/>
  <c r="AE12" i="33"/>
  <c r="AG12" i="33"/>
  <c r="Y12" i="33"/>
  <c r="V13" i="33"/>
  <c r="X13" i="33"/>
  <c r="AE14" i="33"/>
  <c r="AG14" i="33"/>
  <c r="Y14" i="33"/>
  <c r="V15" i="33"/>
  <c r="X15" i="33"/>
  <c r="AF16" i="33"/>
  <c r="AG16" i="33"/>
  <c r="Y16" i="33"/>
  <c r="V17" i="33"/>
  <c r="X17" i="33"/>
  <c r="W18" i="33"/>
  <c r="AE18" i="33"/>
  <c r="AG18" i="33"/>
  <c r="Y18" i="33"/>
  <c r="AI19" i="33"/>
  <c r="V19" i="33"/>
  <c r="X19" i="33"/>
  <c r="W20" i="33"/>
  <c r="AI20" i="33"/>
  <c r="Y20" i="33"/>
  <c r="W21" i="33"/>
  <c r="AI21" i="33"/>
  <c r="Y21" i="33"/>
  <c r="H11" i="32"/>
  <c r="G17" i="32"/>
  <c r="E11" i="32"/>
  <c r="G11" i="32"/>
  <c r="I11" i="32"/>
  <c r="AC11" i="32"/>
  <c r="F17" i="32"/>
  <c r="H17" i="32"/>
  <c r="E17" i="28"/>
  <c r="I17" i="28"/>
  <c r="AC13" i="32"/>
  <c r="F18" i="28"/>
  <c r="F18" i="32"/>
  <c r="H18" i="28"/>
  <c r="H18" i="32"/>
  <c r="AC18" i="32"/>
  <c r="F20" i="32"/>
  <c r="H20" i="32"/>
  <c r="E9" i="32"/>
  <c r="G9" i="32"/>
  <c r="I9" i="32"/>
  <c r="E10" i="32"/>
  <c r="G9" i="28"/>
  <c r="G10" i="32"/>
  <c r="I10" i="32"/>
  <c r="AC14" i="32"/>
  <c r="F15" i="32"/>
  <c r="H15" i="32"/>
  <c r="AC15" i="32"/>
  <c r="F16" i="32"/>
  <c r="H12" i="28"/>
  <c r="H16" i="32"/>
  <c r="E12" i="32"/>
  <c r="G12" i="32"/>
  <c r="I12" i="32"/>
  <c r="AC12" i="32"/>
  <c r="AC19" i="32"/>
  <c r="F14" i="28"/>
  <c r="F21" i="32"/>
  <c r="H14" i="28"/>
  <c r="H21" i="32"/>
  <c r="C12" i="32"/>
  <c r="C16" i="32"/>
  <c r="C21" i="32"/>
  <c r="C15" i="32"/>
  <c r="C18" i="32"/>
  <c r="C9" i="28"/>
  <c r="C10" i="32"/>
  <c r="D12" i="28"/>
  <c r="D16" i="32"/>
  <c r="D14" i="28"/>
  <c r="D21" i="32"/>
  <c r="D15" i="32"/>
  <c r="D18" i="28"/>
  <c r="D18" i="32"/>
  <c r="D10" i="32"/>
  <c r="J16" i="32"/>
  <c r="J14" i="28"/>
  <c r="J21" i="32"/>
  <c r="J15" i="32"/>
  <c r="J18" i="28"/>
  <c r="J18" i="32"/>
  <c r="J10" i="32"/>
  <c r="K12" i="32"/>
  <c r="K16" i="32"/>
  <c r="K21" i="32"/>
  <c r="K15" i="32"/>
  <c r="K18" i="32"/>
  <c r="K9" i="28"/>
  <c r="K10" i="32"/>
  <c r="L10" i="28"/>
  <c r="L14" i="32"/>
  <c r="L13" i="32"/>
  <c r="L9" i="32"/>
  <c r="L20" i="32"/>
  <c r="L17" i="32"/>
  <c r="L11" i="32"/>
  <c r="O21" i="28"/>
  <c r="N14" i="32"/>
  <c r="P10" i="28"/>
  <c r="P14" i="32"/>
  <c r="R14" i="32"/>
  <c r="T10" i="28"/>
  <c r="T14" i="32"/>
  <c r="M12" i="32"/>
  <c r="O12" i="32"/>
  <c r="Q12" i="32"/>
  <c r="S12" i="32"/>
  <c r="U12" i="32"/>
  <c r="N13" i="32"/>
  <c r="P13" i="32"/>
  <c r="R13" i="32"/>
  <c r="T13" i="32"/>
  <c r="M16" i="32"/>
  <c r="O16" i="32"/>
  <c r="Q16" i="32"/>
  <c r="S16" i="32"/>
  <c r="U16" i="32"/>
  <c r="N9" i="32"/>
  <c r="P9" i="32"/>
  <c r="R9" i="32"/>
  <c r="T9" i="32"/>
  <c r="M21" i="32"/>
  <c r="O21" i="32"/>
  <c r="Q21" i="32"/>
  <c r="S21" i="32"/>
  <c r="U21" i="32"/>
  <c r="N20" i="32"/>
  <c r="P20" i="32"/>
  <c r="R20" i="32"/>
  <c r="T20" i="32"/>
  <c r="M15" i="32"/>
  <c r="O15" i="32"/>
  <c r="Q15" i="32"/>
  <c r="S15" i="32"/>
  <c r="U15" i="32"/>
  <c r="N17" i="32"/>
  <c r="P17" i="32"/>
  <c r="R17" i="32"/>
  <c r="T17" i="32"/>
  <c r="M18" i="32"/>
  <c r="O18" i="32"/>
  <c r="Q18" i="32"/>
  <c r="S18" i="32"/>
  <c r="U18" i="32"/>
  <c r="N11" i="32"/>
  <c r="P11" i="32"/>
  <c r="R11" i="32"/>
  <c r="T11" i="32"/>
  <c r="M10" i="32"/>
  <c r="O9" i="28"/>
  <c r="O10" i="32"/>
  <c r="Q10" i="32"/>
  <c r="S10" i="32"/>
  <c r="U10" i="32"/>
  <c r="AB9" i="1"/>
  <c r="AB11" i="1"/>
  <c r="AB17" i="1"/>
  <c r="AB19" i="1"/>
  <c r="D9" i="30"/>
  <c r="J9" i="30"/>
  <c r="D10" i="30"/>
  <c r="F10" i="30"/>
  <c r="L10" i="30"/>
  <c r="N10" i="30"/>
  <c r="P10" i="30"/>
  <c r="R10" i="30"/>
  <c r="T10" i="30"/>
  <c r="Z10" i="30"/>
  <c r="D11" i="30"/>
  <c r="F11" i="30"/>
  <c r="H11" i="30"/>
  <c r="J11" i="30"/>
  <c r="D12" i="30"/>
  <c r="F12" i="30"/>
  <c r="H12" i="30"/>
  <c r="J12" i="30"/>
  <c r="D13" i="30"/>
  <c r="F13" i="30"/>
  <c r="H13" i="30"/>
  <c r="J13" i="30"/>
  <c r="L13" i="30"/>
  <c r="N13" i="30"/>
  <c r="P13" i="30"/>
  <c r="R13" i="30"/>
  <c r="T13" i="30"/>
  <c r="D14" i="30"/>
  <c r="F14" i="30"/>
  <c r="H14" i="30"/>
  <c r="J14" i="30"/>
  <c r="H15" i="30"/>
  <c r="L15" i="30"/>
  <c r="N15" i="30"/>
  <c r="P15" i="30"/>
  <c r="R15" i="30"/>
  <c r="T15" i="30"/>
  <c r="F20" i="30"/>
  <c r="H20" i="30"/>
  <c r="L20" i="30"/>
  <c r="N20" i="30"/>
  <c r="P20" i="30"/>
  <c r="R20" i="30"/>
  <c r="T20" i="30"/>
  <c r="Z20" i="30"/>
  <c r="L16" i="30"/>
  <c r="N16" i="30"/>
  <c r="P16" i="30"/>
  <c r="R16" i="30"/>
  <c r="T16" i="30"/>
  <c r="D17" i="30"/>
  <c r="F17" i="30"/>
  <c r="H17" i="30"/>
  <c r="J17" i="30"/>
  <c r="F21" i="30"/>
  <c r="H21" i="30"/>
  <c r="L21" i="30"/>
  <c r="N21" i="30"/>
  <c r="P21" i="30"/>
  <c r="R21" i="30"/>
  <c r="T21" i="30"/>
  <c r="X21" i="30"/>
  <c r="L19" i="30"/>
  <c r="N19" i="30"/>
  <c r="T19" i="30"/>
  <c r="Z19" i="30"/>
  <c r="P19" i="30"/>
  <c r="R19" i="30"/>
  <c r="D18" i="30"/>
  <c r="F18" i="30"/>
  <c r="H18" i="30"/>
  <c r="J18" i="30"/>
  <c r="L18" i="30"/>
  <c r="N18" i="30"/>
  <c r="P18" i="30"/>
  <c r="R18" i="30"/>
  <c r="T18" i="30"/>
  <c r="X18" i="30"/>
  <c r="I19" i="32"/>
  <c r="M19" i="32"/>
  <c r="O19" i="32"/>
  <c r="Q19" i="32"/>
  <c r="S19" i="32"/>
  <c r="U19" i="32"/>
  <c r="I14" i="32"/>
  <c r="M14" i="32"/>
  <c r="Q14" i="32"/>
  <c r="U14" i="32"/>
  <c r="F12" i="32"/>
  <c r="J12" i="32"/>
  <c r="N12" i="32"/>
  <c r="R12" i="32"/>
  <c r="G13" i="32"/>
  <c r="K13" i="32"/>
  <c r="F11" i="32"/>
  <c r="E17" i="32"/>
  <c r="I17" i="32"/>
  <c r="AC17" i="32"/>
  <c r="F13" i="32"/>
  <c r="H13" i="32"/>
  <c r="E18" i="32"/>
  <c r="G18" i="32"/>
  <c r="I18" i="32"/>
  <c r="E20" i="32"/>
  <c r="G19" i="28"/>
  <c r="G20" i="32"/>
  <c r="I20" i="32"/>
  <c r="AC20" i="32"/>
  <c r="F9" i="32"/>
  <c r="H9" i="32"/>
  <c r="AC9" i="32"/>
  <c r="F10" i="32"/>
  <c r="H10" i="32"/>
  <c r="AC10" i="32"/>
  <c r="H10" i="28"/>
  <c r="H14" i="32"/>
  <c r="E15" i="32"/>
  <c r="G15" i="32"/>
  <c r="I15" i="32"/>
  <c r="E16" i="32"/>
  <c r="G16" i="32"/>
  <c r="I16" i="32"/>
  <c r="AC16" i="32"/>
  <c r="G21" i="28"/>
  <c r="E21" i="32"/>
  <c r="G21" i="32"/>
  <c r="I21" i="32"/>
  <c r="AC21" i="32"/>
  <c r="C9" i="32"/>
  <c r="C19" i="28"/>
  <c r="C20" i="32"/>
  <c r="C17" i="32"/>
  <c r="C11" i="32"/>
  <c r="D10" i="28"/>
  <c r="D13" i="32"/>
  <c r="D9" i="32"/>
  <c r="D20" i="32"/>
  <c r="D17" i="32"/>
  <c r="D11" i="32"/>
  <c r="C21" i="28"/>
  <c r="K21" i="28"/>
  <c r="J14" i="32"/>
  <c r="J13" i="32"/>
  <c r="J9" i="32"/>
  <c r="J20" i="32"/>
  <c r="J17" i="32"/>
  <c r="J11" i="32"/>
  <c r="K9" i="32"/>
  <c r="K19" i="28"/>
  <c r="K20" i="32"/>
  <c r="K17" i="32"/>
  <c r="K11" i="32"/>
  <c r="L12" i="28"/>
  <c r="L16" i="32"/>
  <c r="L14" i="28"/>
  <c r="L21" i="32"/>
  <c r="L15" i="32"/>
  <c r="L18" i="28"/>
  <c r="L18" i="32"/>
  <c r="L10" i="32"/>
  <c r="M17" i="28"/>
  <c r="M13" i="32"/>
  <c r="O13" i="32"/>
  <c r="Q17" i="28"/>
  <c r="Q13" i="32"/>
  <c r="S13" i="32"/>
  <c r="U13" i="32"/>
  <c r="N12" i="28"/>
  <c r="N16" i="32"/>
  <c r="P12" i="28"/>
  <c r="P16" i="32"/>
  <c r="R12" i="28"/>
  <c r="R16" i="32"/>
  <c r="T12" i="28"/>
  <c r="T16" i="32"/>
  <c r="M9" i="32"/>
  <c r="O9" i="32"/>
  <c r="Q9" i="32"/>
  <c r="S9" i="32"/>
  <c r="U9" i="32"/>
  <c r="N14" i="28"/>
  <c r="N21" i="32"/>
  <c r="P14" i="28"/>
  <c r="P21" i="32"/>
  <c r="R14" i="28"/>
  <c r="R21" i="32"/>
  <c r="T14" i="28"/>
  <c r="Z14" i="28"/>
  <c r="T21" i="32"/>
  <c r="M19" i="28"/>
  <c r="M20" i="32"/>
  <c r="O19" i="28"/>
  <c r="O20" i="32"/>
  <c r="Q20" i="32"/>
  <c r="S20" i="32"/>
  <c r="U20" i="32"/>
  <c r="N15" i="32"/>
  <c r="P15" i="32"/>
  <c r="R15" i="32"/>
  <c r="T15" i="32"/>
  <c r="M17" i="32"/>
  <c r="O17" i="32"/>
  <c r="Q17" i="32"/>
  <c r="S17" i="32"/>
  <c r="U17" i="32"/>
  <c r="N18" i="28"/>
  <c r="N18" i="32"/>
  <c r="P18" i="28"/>
  <c r="P18" i="32"/>
  <c r="R18" i="28"/>
  <c r="R18" i="32"/>
  <c r="T18" i="28"/>
  <c r="V18" i="28"/>
  <c r="T18" i="32"/>
  <c r="M15" i="28"/>
  <c r="M11" i="32"/>
  <c r="O11" i="32"/>
  <c r="Q15" i="28"/>
  <c r="Q11" i="32"/>
  <c r="S11" i="32"/>
  <c r="U11" i="32"/>
  <c r="N10" i="32"/>
  <c r="P10" i="32"/>
  <c r="R10" i="32"/>
  <c r="T10" i="32"/>
  <c r="AB10" i="1"/>
  <c r="AB12" i="1"/>
  <c r="AB14" i="1"/>
  <c r="AB16" i="1"/>
  <c r="AB18" i="1"/>
  <c r="AB20" i="1"/>
  <c r="C9" i="30"/>
  <c r="E9" i="30"/>
  <c r="G9" i="30"/>
  <c r="I9" i="30"/>
  <c r="K9" i="30"/>
  <c r="M9" i="30"/>
  <c r="O9" i="30"/>
  <c r="Q9" i="30"/>
  <c r="C10" i="30"/>
  <c r="E10" i="30"/>
  <c r="G10" i="30"/>
  <c r="I10" i="30"/>
  <c r="K10" i="30"/>
  <c r="M10" i="30"/>
  <c r="O10" i="30"/>
  <c r="Q10" i="30"/>
  <c r="Y10" i="30"/>
  <c r="C11" i="30"/>
  <c r="E11" i="30"/>
  <c r="G11" i="30"/>
  <c r="I11" i="30"/>
  <c r="K11" i="30"/>
  <c r="M11" i="30"/>
  <c r="O11" i="30"/>
  <c r="Q11" i="30"/>
  <c r="C12" i="30"/>
  <c r="E12" i="30"/>
  <c r="G12" i="30"/>
  <c r="I12" i="30"/>
  <c r="K12" i="30"/>
  <c r="M12" i="30"/>
  <c r="O12" i="30"/>
  <c r="Q12" i="30"/>
  <c r="Y12" i="30"/>
  <c r="C13" i="30"/>
  <c r="E13" i="30"/>
  <c r="G13" i="30"/>
  <c r="I13" i="30"/>
  <c r="K13" i="30"/>
  <c r="M13" i="30"/>
  <c r="O13" i="30"/>
  <c r="Q13" i="30"/>
  <c r="AA13" i="30"/>
  <c r="C14" i="30"/>
  <c r="E14" i="30"/>
  <c r="G14" i="30"/>
  <c r="I14" i="30"/>
  <c r="K14" i="30"/>
  <c r="M14" i="30"/>
  <c r="O14" i="30"/>
  <c r="Q14" i="30"/>
  <c r="Y14" i="30"/>
  <c r="C15" i="30"/>
  <c r="E15" i="30"/>
  <c r="G15" i="30"/>
  <c r="I15" i="30"/>
  <c r="K15" i="30"/>
  <c r="M15" i="30"/>
  <c r="O15" i="30"/>
  <c r="Q15" i="30"/>
  <c r="AA15" i="30"/>
  <c r="C20" i="30"/>
  <c r="E20" i="30"/>
  <c r="G20" i="30"/>
  <c r="I20" i="30"/>
  <c r="K20" i="30"/>
  <c r="M20" i="30"/>
  <c r="O20" i="30"/>
  <c r="Q20" i="30"/>
  <c r="Y20" i="30"/>
  <c r="C16" i="30"/>
  <c r="E16" i="30"/>
  <c r="G16" i="30"/>
  <c r="I16" i="30"/>
  <c r="K16" i="30"/>
  <c r="M16" i="30"/>
  <c r="O16" i="30"/>
  <c r="Q16" i="30"/>
  <c r="AA16" i="30"/>
  <c r="C17" i="30"/>
  <c r="E17" i="30"/>
  <c r="G17" i="30"/>
  <c r="I17" i="30"/>
  <c r="K17" i="30"/>
  <c r="M17" i="30"/>
  <c r="O17" i="30"/>
  <c r="Q17" i="30"/>
  <c r="Y17" i="30"/>
  <c r="C21" i="30"/>
  <c r="E21" i="30"/>
  <c r="G21" i="30"/>
  <c r="I21" i="30"/>
  <c r="K21" i="30"/>
  <c r="M21" i="30"/>
  <c r="O21" i="30"/>
  <c r="Q21" i="30"/>
  <c r="AA21" i="30"/>
  <c r="C19" i="30"/>
  <c r="E19" i="30"/>
  <c r="G19" i="30"/>
  <c r="I19" i="30"/>
  <c r="K19" i="30"/>
  <c r="M19" i="30"/>
  <c r="O19" i="30"/>
  <c r="Q19" i="30"/>
  <c r="S19" i="30"/>
  <c r="U19" i="30"/>
  <c r="Y19" i="30"/>
  <c r="C18" i="30"/>
  <c r="E18" i="30"/>
  <c r="G18" i="30"/>
  <c r="I18" i="30"/>
  <c r="K18" i="30"/>
  <c r="M18" i="30"/>
  <c r="O18" i="30"/>
  <c r="Q18" i="30"/>
  <c r="AA18" i="30"/>
  <c r="D19" i="32"/>
  <c r="F19" i="32"/>
  <c r="H19" i="32"/>
  <c r="J19" i="32"/>
  <c r="L19" i="32"/>
  <c r="N19" i="32"/>
  <c r="P19" i="32"/>
  <c r="R19" i="32"/>
  <c r="T19" i="32"/>
  <c r="V19" i="32"/>
  <c r="C14" i="32"/>
  <c r="E14" i="32"/>
  <c r="G14" i="32"/>
  <c r="K14" i="32"/>
  <c r="O14" i="32"/>
  <c r="AA14" i="32"/>
  <c r="S14" i="32"/>
  <c r="D12" i="32"/>
  <c r="H12" i="32"/>
  <c r="L12" i="32"/>
  <c r="P12" i="32"/>
  <c r="T12" i="32"/>
  <c r="Z12" i="32"/>
  <c r="E13" i="32"/>
  <c r="I13" i="32"/>
  <c r="Z14" i="32"/>
  <c r="AA12" i="32"/>
  <c r="Z13" i="32"/>
  <c r="AA16" i="32"/>
  <c r="Z9" i="32"/>
  <c r="AA21" i="32"/>
  <c r="Z20" i="32"/>
  <c r="AA15" i="32"/>
  <c r="Z17" i="32"/>
  <c r="AA18" i="32"/>
  <c r="Z11" i="32"/>
  <c r="AA10" i="32"/>
  <c r="AA13" i="32"/>
  <c r="Z16" i="32"/>
  <c r="AA9" i="32"/>
  <c r="Z21" i="32"/>
  <c r="AA20" i="32"/>
  <c r="Z15" i="32"/>
  <c r="AA17" i="32"/>
  <c r="Z18" i="32"/>
  <c r="AA11" i="32"/>
  <c r="Z10" i="32"/>
  <c r="X19" i="32"/>
  <c r="V14" i="32"/>
  <c r="X14" i="32"/>
  <c r="V13" i="32"/>
  <c r="X13" i="32"/>
  <c r="W16" i="32"/>
  <c r="Y16" i="32"/>
  <c r="W9" i="32"/>
  <c r="Y9" i="32"/>
  <c r="W21" i="32"/>
  <c r="Y21" i="32"/>
  <c r="W20" i="32"/>
  <c r="Y20" i="32"/>
  <c r="X15" i="32"/>
  <c r="V17" i="32"/>
  <c r="X17" i="32"/>
  <c r="V18" i="32"/>
  <c r="X18" i="32"/>
  <c r="V11" i="32"/>
  <c r="X11" i="32"/>
  <c r="V10" i="32"/>
  <c r="X10" i="32"/>
  <c r="W19" i="32"/>
  <c r="Y19" i="32"/>
  <c r="AA19" i="32"/>
  <c r="W14" i="32"/>
  <c r="Y14" i="32"/>
  <c r="W12" i="32"/>
  <c r="Y12" i="32"/>
  <c r="W13" i="32"/>
  <c r="Y13" i="32"/>
  <c r="X16" i="32"/>
  <c r="V9" i="32"/>
  <c r="X9" i="32"/>
  <c r="V21" i="32"/>
  <c r="X21" i="32"/>
  <c r="V20" i="32"/>
  <c r="X20" i="32"/>
  <c r="W15" i="32"/>
  <c r="Y15" i="32"/>
  <c r="W17" i="32"/>
  <c r="Y17" i="32"/>
  <c r="W18" i="32"/>
  <c r="Y18" i="32"/>
  <c r="W11" i="32"/>
  <c r="Y11" i="32"/>
  <c r="W10" i="32"/>
  <c r="Y10" i="32"/>
  <c r="Z9" i="30"/>
  <c r="Z11" i="30"/>
  <c r="Z12" i="30"/>
  <c r="Z13" i="30"/>
  <c r="Z14" i="30"/>
  <c r="Z15" i="30"/>
  <c r="Z16" i="30"/>
  <c r="Z17" i="30"/>
  <c r="Z21" i="30"/>
  <c r="Z18" i="30"/>
  <c r="AA10" i="30"/>
  <c r="AA12" i="30"/>
  <c r="AA14" i="30"/>
  <c r="AA20" i="30"/>
  <c r="AA17" i="30"/>
  <c r="AA19" i="30"/>
  <c r="V10" i="30"/>
  <c r="X11" i="30"/>
  <c r="X12" i="30"/>
  <c r="V14" i="30"/>
  <c r="X14" i="30"/>
  <c r="V20" i="30"/>
  <c r="V17" i="30"/>
  <c r="X17" i="30"/>
  <c r="V19" i="30"/>
  <c r="X19" i="30"/>
  <c r="V9" i="30"/>
  <c r="X9" i="30"/>
  <c r="V13" i="30"/>
  <c r="X13" i="30"/>
  <c r="V15" i="30"/>
  <c r="X15" i="30"/>
  <c r="V16" i="30"/>
  <c r="X16" i="30"/>
  <c r="V21" i="30"/>
  <c r="W19" i="30"/>
  <c r="V18" i="30"/>
  <c r="E15" i="28"/>
  <c r="I15" i="28"/>
  <c r="G20" i="28"/>
  <c r="F9" i="28"/>
  <c r="F13" i="28"/>
  <c r="C10" i="28"/>
  <c r="C9" i="27"/>
  <c r="C15" i="28"/>
  <c r="K10" i="28"/>
  <c r="K11" i="27"/>
  <c r="K17" i="28"/>
  <c r="K20" i="28"/>
  <c r="K16" i="28"/>
  <c r="K9" i="27"/>
  <c r="K15" i="28"/>
  <c r="L21" i="28"/>
  <c r="L13" i="28"/>
  <c r="L11" i="28"/>
  <c r="L9" i="28"/>
  <c r="N21" i="28"/>
  <c r="P21" i="28"/>
  <c r="R21" i="28"/>
  <c r="T21" i="28"/>
  <c r="M10" i="28"/>
  <c r="O10" i="28"/>
  <c r="Q10" i="28"/>
  <c r="N13" i="28"/>
  <c r="P13" i="28"/>
  <c r="R13" i="28"/>
  <c r="T13" i="28"/>
  <c r="O11" i="27"/>
  <c r="O17" i="28"/>
  <c r="AA17" i="28"/>
  <c r="M20" i="28"/>
  <c r="O20" i="28"/>
  <c r="Q20" i="28"/>
  <c r="Q14" i="27"/>
  <c r="Q19" i="28"/>
  <c r="N11" i="28"/>
  <c r="P11" i="28"/>
  <c r="R11" i="28"/>
  <c r="T11" i="28"/>
  <c r="M16" i="28"/>
  <c r="O16" i="28"/>
  <c r="Q16" i="28"/>
  <c r="Y16" i="28"/>
  <c r="O9" i="27"/>
  <c r="O15" i="28"/>
  <c r="AA15" i="28"/>
  <c r="AF9" i="27"/>
  <c r="N9" i="28"/>
  <c r="P9" i="28"/>
  <c r="R9" i="28"/>
  <c r="T9" i="28"/>
  <c r="C15" i="1"/>
  <c r="C19" i="1"/>
  <c r="D15" i="1"/>
  <c r="D19" i="1"/>
  <c r="F11" i="1"/>
  <c r="F13" i="1"/>
  <c r="F19" i="1"/>
  <c r="H13" i="1"/>
  <c r="H19" i="1"/>
  <c r="K10" i="1"/>
  <c r="K14" i="1"/>
  <c r="K18" i="1"/>
  <c r="L9" i="1"/>
  <c r="O10" i="1"/>
  <c r="O18" i="1"/>
  <c r="Q18" i="1"/>
  <c r="S20" i="1"/>
  <c r="T15" i="1"/>
  <c r="I9" i="23"/>
  <c r="O10" i="23"/>
  <c r="E11" i="23"/>
  <c r="K12" i="23"/>
  <c r="S12" i="23"/>
  <c r="O14" i="23"/>
  <c r="E15" i="23"/>
  <c r="K16" i="23"/>
  <c r="S16" i="23"/>
  <c r="O18" i="23"/>
  <c r="K20" i="23"/>
  <c r="S20" i="23"/>
  <c r="O10" i="27"/>
  <c r="L13" i="27"/>
  <c r="D21" i="28"/>
  <c r="F21" i="28"/>
  <c r="I21" i="28"/>
  <c r="M21" i="28"/>
  <c r="Q21" i="28"/>
  <c r="F10" i="28"/>
  <c r="J10" i="28"/>
  <c r="N10" i="28"/>
  <c r="Z10" i="28"/>
  <c r="R10" i="28"/>
  <c r="C13" i="28"/>
  <c r="G13" i="28"/>
  <c r="K13" i="28"/>
  <c r="O13" i="28"/>
  <c r="D17" i="28"/>
  <c r="H17" i="28"/>
  <c r="L17" i="28"/>
  <c r="P17" i="28"/>
  <c r="T17" i="28"/>
  <c r="E12" i="28"/>
  <c r="I12" i="28"/>
  <c r="M12" i="28"/>
  <c r="Q12" i="28"/>
  <c r="F20" i="28"/>
  <c r="J20" i="28"/>
  <c r="N20" i="28"/>
  <c r="R20" i="28"/>
  <c r="C14" i="28"/>
  <c r="G14" i="28"/>
  <c r="K14" i="28"/>
  <c r="O14" i="28"/>
  <c r="D19" i="28"/>
  <c r="H19" i="28"/>
  <c r="L19" i="28"/>
  <c r="P19" i="28"/>
  <c r="T19" i="28"/>
  <c r="E11" i="28"/>
  <c r="I11" i="28"/>
  <c r="M11" i="28"/>
  <c r="Q11" i="28"/>
  <c r="F16" i="28"/>
  <c r="J16" i="28"/>
  <c r="N16" i="28"/>
  <c r="R16" i="28"/>
  <c r="C18" i="28"/>
  <c r="G18" i="28"/>
  <c r="K18" i="28"/>
  <c r="O18" i="28"/>
  <c r="D15" i="28"/>
  <c r="H15" i="28"/>
  <c r="L15" i="28"/>
  <c r="P15" i="28"/>
  <c r="T15" i="28"/>
  <c r="E9" i="28"/>
  <c r="I9" i="28"/>
  <c r="M9" i="28"/>
  <c r="Q9" i="28"/>
  <c r="G9" i="27"/>
  <c r="G15" i="28"/>
  <c r="G11" i="27"/>
  <c r="G17" i="28"/>
  <c r="E20" i="28"/>
  <c r="I20" i="28"/>
  <c r="H9" i="28"/>
  <c r="C11" i="27"/>
  <c r="C17" i="28"/>
  <c r="C20" i="28"/>
  <c r="C16" i="28"/>
  <c r="E16" i="28"/>
  <c r="G16" i="28"/>
  <c r="I16" i="28"/>
  <c r="E14" i="27"/>
  <c r="E19" i="28"/>
  <c r="I14" i="27"/>
  <c r="I19" i="28"/>
  <c r="E10" i="28"/>
  <c r="G10" i="28"/>
  <c r="I10" i="28"/>
  <c r="F11" i="28"/>
  <c r="H11" i="28"/>
  <c r="F13" i="23"/>
  <c r="F12" i="28"/>
  <c r="H13" i="28"/>
  <c r="H21" i="28"/>
  <c r="D13" i="28"/>
  <c r="D11" i="28"/>
  <c r="D9" i="28"/>
  <c r="J21" i="28"/>
  <c r="J13" i="28"/>
  <c r="J13" i="23"/>
  <c r="J12" i="28"/>
  <c r="J11" i="28"/>
  <c r="J9" i="28"/>
  <c r="AA14" i="20"/>
  <c r="X13" i="20"/>
  <c r="X11" i="20"/>
  <c r="V15" i="20"/>
  <c r="Z15" i="20"/>
  <c r="C13" i="1"/>
  <c r="C17" i="1"/>
  <c r="C21" i="1"/>
  <c r="D17" i="1"/>
  <c r="D21" i="1"/>
  <c r="F10" i="1"/>
  <c r="F17" i="1"/>
  <c r="F21" i="1"/>
  <c r="H17" i="1"/>
  <c r="H21" i="1"/>
  <c r="K12" i="1"/>
  <c r="K16" i="1"/>
  <c r="K20" i="1"/>
  <c r="L11" i="1"/>
  <c r="O14" i="1"/>
  <c r="Q14" i="1"/>
  <c r="S16" i="1"/>
  <c r="T11" i="1"/>
  <c r="T19" i="1"/>
  <c r="E9" i="23"/>
  <c r="K10" i="23"/>
  <c r="S10" i="23"/>
  <c r="I11" i="23"/>
  <c r="O12" i="23"/>
  <c r="K14" i="23"/>
  <c r="S14" i="23"/>
  <c r="I15" i="23"/>
  <c r="O16" i="23"/>
  <c r="K18" i="23"/>
  <c r="S18" i="23"/>
  <c r="O20" i="23"/>
  <c r="R19" i="27"/>
  <c r="D13" i="27"/>
  <c r="T13" i="27"/>
  <c r="E21" i="28"/>
  <c r="E13" i="28"/>
  <c r="I13" i="28"/>
  <c r="M13" i="28"/>
  <c r="Q13" i="28"/>
  <c r="AA13" i="28"/>
  <c r="F17" i="28"/>
  <c r="J17" i="28"/>
  <c r="N17" i="28"/>
  <c r="Z17" i="28"/>
  <c r="R17" i="28"/>
  <c r="V17" i="28"/>
  <c r="C12" i="28"/>
  <c r="G12" i="28"/>
  <c r="K12" i="28"/>
  <c r="O12" i="28"/>
  <c r="AA12" i="28"/>
  <c r="D20" i="28"/>
  <c r="H20" i="28"/>
  <c r="L20" i="28"/>
  <c r="P20" i="28"/>
  <c r="T20" i="28"/>
  <c r="Z20" i="28"/>
  <c r="E14" i="28"/>
  <c r="I14" i="28"/>
  <c r="M14" i="28"/>
  <c r="Q14" i="28"/>
  <c r="F19" i="28"/>
  <c r="J19" i="28"/>
  <c r="N19" i="28"/>
  <c r="R19" i="28"/>
  <c r="C11" i="28"/>
  <c r="G11" i="28"/>
  <c r="K11" i="28"/>
  <c r="O11" i="28"/>
  <c r="AA11" i="28"/>
  <c r="D16" i="28"/>
  <c r="H16" i="28"/>
  <c r="L16" i="28"/>
  <c r="P16" i="28"/>
  <c r="T16" i="28"/>
  <c r="Z16" i="28"/>
  <c r="E18" i="28"/>
  <c r="I18" i="28"/>
  <c r="M18" i="28"/>
  <c r="Q18" i="28"/>
  <c r="F15" i="28"/>
  <c r="J15" i="28"/>
  <c r="N15" i="28"/>
  <c r="R15" i="28"/>
  <c r="Z21" i="28"/>
  <c r="Z12" i="28"/>
  <c r="AA19" i="28"/>
  <c r="Z18" i="28"/>
  <c r="AA18" i="28"/>
  <c r="X21" i="28"/>
  <c r="X10" i="28"/>
  <c r="Y20" i="28"/>
  <c r="Y19" i="28"/>
  <c r="X18" i="28"/>
  <c r="V15" i="28"/>
  <c r="X9" i="28"/>
  <c r="Y21" i="28"/>
  <c r="Y17" i="28"/>
  <c r="X12" i="28"/>
  <c r="V14" i="28"/>
  <c r="X19" i="28"/>
  <c r="Y15" i="28"/>
  <c r="E10" i="27"/>
  <c r="I10" i="27"/>
  <c r="E11" i="27"/>
  <c r="I11" i="27"/>
  <c r="E12" i="27"/>
  <c r="G12" i="27"/>
  <c r="I12" i="27"/>
  <c r="G14" i="27"/>
  <c r="E15" i="27"/>
  <c r="G15" i="27"/>
  <c r="I15" i="27"/>
  <c r="E16" i="27"/>
  <c r="G16" i="27"/>
  <c r="I16" i="27"/>
  <c r="E17" i="27"/>
  <c r="G17" i="27"/>
  <c r="I17" i="27"/>
  <c r="E18" i="27"/>
  <c r="G18" i="27"/>
  <c r="I18" i="27"/>
  <c r="E19" i="27"/>
  <c r="G19" i="27"/>
  <c r="I19" i="27"/>
  <c r="H20" i="27"/>
  <c r="H11" i="23"/>
  <c r="F13" i="27"/>
  <c r="F9" i="23"/>
  <c r="H9" i="23"/>
  <c r="F21" i="27"/>
  <c r="F15" i="23"/>
  <c r="H21" i="27"/>
  <c r="H15" i="23"/>
  <c r="C17" i="27"/>
  <c r="C15" i="27"/>
  <c r="C14" i="27"/>
  <c r="D17" i="27"/>
  <c r="D10" i="23"/>
  <c r="D11" i="27"/>
  <c r="D12" i="23"/>
  <c r="D15" i="27"/>
  <c r="D14" i="23"/>
  <c r="D14" i="27"/>
  <c r="D16" i="23"/>
  <c r="D10" i="27"/>
  <c r="D18" i="23"/>
  <c r="D9" i="27"/>
  <c r="D20" i="23"/>
  <c r="C13" i="27"/>
  <c r="J13" i="27"/>
  <c r="J9" i="23"/>
  <c r="J20" i="27"/>
  <c r="J11" i="23"/>
  <c r="J21" i="27"/>
  <c r="J15" i="23"/>
  <c r="J18" i="27"/>
  <c r="J17" i="23"/>
  <c r="J12" i="27"/>
  <c r="J19" i="23"/>
  <c r="J16" i="27"/>
  <c r="J21" i="23"/>
  <c r="K20" i="27"/>
  <c r="K19" i="27"/>
  <c r="K21" i="27"/>
  <c r="K18" i="27"/>
  <c r="K12" i="27"/>
  <c r="K16" i="27"/>
  <c r="L17" i="27"/>
  <c r="L10" i="23"/>
  <c r="L11" i="27"/>
  <c r="L12" i="23"/>
  <c r="L15" i="27"/>
  <c r="L14" i="23"/>
  <c r="L14" i="27"/>
  <c r="L16" i="23"/>
  <c r="L10" i="27"/>
  <c r="L18" i="23"/>
  <c r="L9" i="27"/>
  <c r="L20" i="23"/>
  <c r="M13" i="27"/>
  <c r="O13" i="27"/>
  <c r="Q13" i="27"/>
  <c r="N17" i="27"/>
  <c r="N10" i="23"/>
  <c r="P17" i="27"/>
  <c r="P10" i="23"/>
  <c r="R17" i="27"/>
  <c r="R10" i="23"/>
  <c r="T17" i="27"/>
  <c r="Z17" i="27"/>
  <c r="T10" i="23"/>
  <c r="T10" i="1"/>
  <c r="M20" i="27"/>
  <c r="O20" i="27"/>
  <c r="O11" i="1"/>
  <c r="Q20" i="27"/>
  <c r="Q11" i="1"/>
  <c r="S20" i="27"/>
  <c r="U20" i="27"/>
  <c r="W20" i="27"/>
  <c r="AH20" i="27"/>
  <c r="N11" i="27"/>
  <c r="N12" i="23"/>
  <c r="P11" i="27"/>
  <c r="P12" i="23"/>
  <c r="R11" i="27"/>
  <c r="R12" i="23"/>
  <c r="T11" i="27"/>
  <c r="X11" i="27"/>
  <c r="T12" i="23"/>
  <c r="T12" i="1"/>
  <c r="M19" i="27"/>
  <c r="M13" i="1"/>
  <c r="O19" i="27"/>
  <c r="O13" i="1"/>
  <c r="Q19" i="27"/>
  <c r="Q13" i="1"/>
  <c r="S19" i="27"/>
  <c r="U19" i="27"/>
  <c r="N15" i="27"/>
  <c r="N14" i="23"/>
  <c r="P15" i="27"/>
  <c r="P14" i="23"/>
  <c r="R15" i="27"/>
  <c r="R14" i="23"/>
  <c r="T15" i="27"/>
  <c r="T14" i="23"/>
  <c r="Z14" i="23"/>
  <c r="T14" i="1"/>
  <c r="M21" i="27"/>
  <c r="M15" i="1"/>
  <c r="O21" i="27"/>
  <c r="O15" i="1"/>
  <c r="Q21" i="27"/>
  <c r="Q15" i="1"/>
  <c r="S21" i="27"/>
  <c r="S15" i="1"/>
  <c r="U21" i="27"/>
  <c r="Y21" i="27"/>
  <c r="N14" i="27"/>
  <c r="N16" i="23"/>
  <c r="P14" i="27"/>
  <c r="P16" i="23"/>
  <c r="R14" i="27"/>
  <c r="R16" i="23"/>
  <c r="T14" i="27"/>
  <c r="X14" i="27"/>
  <c r="T16" i="23"/>
  <c r="T16" i="1"/>
  <c r="M18" i="27"/>
  <c r="M17" i="1"/>
  <c r="O18" i="27"/>
  <c r="O17" i="1"/>
  <c r="Q18" i="27"/>
  <c r="Q17" i="1"/>
  <c r="S18" i="27"/>
  <c r="S17" i="1"/>
  <c r="U18" i="27"/>
  <c r="N10" i="27"/>
  <c r="N18" i="23"/>
  <c r="P10" i="27"/>
  <c r="P18" i="23"/>
  <c r="R10" i="27"/>
  <c r="R18" i="23"/>
  <c r="T10" i="27"/>
  <c r="T18" i="23"/>
  <c r="T18" i="1"/>
  <c r="M12" i="27"/>
  <c r="M19" i="1"/>
  <c r="O12" i="27"/>
  <c r="O19" i="1"/>
  <c r="Q12" i="27"/>
  <c r="Q19" i="1"/>
  <c r="S19" i="1"/>
  <c r="AA12" i="27"/>
  <c r="N9" i="27"/>
  <c r="N20" i="23"/>
  <c r="P9" i="27"/>
  <c r="P20" i="23"/>
  <c r="R9" i="27"/>
  <c r="R20" i="23"/>
  <c r="T9" i="27"/>
  <c r="T20" i="23"/>
  <c r="T20" i="1"/>
  <c r="M16" i="27"/>
  <c r="M21" i="1"/>
  <c r="O16" i="27"/>
  <c r="O21" i="1"/>
  <c r="Q16" i="27"/>
  <c r="Q21" i="1"/>
  <c r="S16" i="27"/>
  <c r="S21" i="1"/>
  <c r="U16" i="27"/>
  <c r="F9" i="27"/>
  <c r="F20" i="23"/>
  <c r="H9" i="27"/>
  <c r="H20" i="23"/>
  <c r="F10" i="27"/>
  <c r="F18" i="23"/>
  <c r="H10" i="27"/>
  <c r="H18" i="23"/>
  <c r="F11" i="27"/>
  <c r="F12" i="23"/>
  <c r="H11" i="27"/>
  <c r="H12" i="23"/>
  <c r="F12" i="27"/>
  <c r="F19" i="23"/>
  <c r="H12" i="27"/>
  <c r="H19" i="23"/>
  <c r="F14" i="27"/>
  <c r="F16" i="23"/>
  <c r="H14" i="27"/>
  <c r="H16" i="23"/>
  <c r="F15" i="27"/>
  <c r="F14" i="23"/>
  <c r="H15" i="27"/>
  <c r="H14" i="23"/>
  <c r="F16" i="27"/>
  <c r="F21" i="23"/>
  <c r="H16" i="27"/>
  <c r="H21" i="23"/>
  <c r="F17" i="27"/>
  <c r="F10" i="23"/>
  <c r="H17" i="27"/>
  <c r="H10" i="23"/>
  <c r="F18" i="27"/>
  <c r="F17" i="23"/>
  <c r="H18" i="27"/>
  <c r="H17" i="23"/>
  <c r="H19" i="27"/>
  <c r="H13" i="23"/>
  <c r="F20" i="27"/>
  <c r="E20" i="27"/>
  <c r="F11" i="23"/>
  <c r="G20" i="27"/>
  <c r="I20" i="27"/>
  <c r="E13" i="27"/>
  <c r="G13" i="27"/>
  <c r="E21" i="27"/>
  <c r="G21" i="27"/>
  <c r="I21" i="27"/>
  <c r="D9" i="23"/>
  <c r="C20" i="27"/>
  <c r="C19" i="27"/>
  <c r="C21" i="27"/>
  <c r="C18" i="27"/>
  <c r="C12" i="27"/>
  <c r="C16" i="27"/>
  <c r="D20" i="27"/>
  <c r="D11" i="23"/>
  <c r="D19" i="27"/>
  <c r="D13" i="23"/>
  <c r="D21" i="27"/>
  <c r="D15" i="23"/>
  <c r="D18" i="27"/>
  <c r="D17" i="23"/>
  <c r="D12" i="27"/>
  <c r="D19" i="23"/>
  <c r="D16" i="27"/>
  <c r="D21" i="23"/>
  <c r="I13" i="27"/>
  <c r="K13" i="27"/>
  <c r="J17" i="27"/>
  <c r="J10" i="23"/>
  <c r="J11" i="27"/>
  <c r="J12" i="23"/>
  <c r="J15" i="27"/>
  <c r="J14" i="23"/>
  <c r="J14" i="27"/>
  <c r="J16" i="23"/>
  <c r="J10" i="27"/>
  <c r="J18" i="23"/>
  <c r="J9" i="27"/>
  <c r="J20" i="23"/>
  <c r="K17" i="27"/>
  <c r="K15" i="27"/>
  <c r="K14" i="27"/>
  <c r="L9" i="23"/>
  <c r="L20" i="27"/>
  <c r="L11" i="23"/>
  <c r="L19" i="27"/>
  <c r="L13" i="23"/>
  <c r="L21" i="27"/>
  <c r="L15" i="23"/>
  <c r="L18" i="27"/>
  <c r="L17" i="23"/>
  <c r="L12" i="27"/>
  <c r="L19" i="23"/>
  <c r="L16" i="27"/>
  <c r="L21" i="23"/>
  <c r="N13" i="27"/>
  <c r="N9" i="23"/>
  <c r="X9" i="20"/>
  <c r="P9" i="23"/>
  <c r="R13" i="27"/>
  <c r="R9" i="23"/>
  <c r="T9" i="23"/>
  <c r="M17" i="27"/>
  <c r="O17" i="27"/>
  <c r="Q17" i="27"/>
  <c r="S17" i="27"/>
  <c r="S10" i="1"/>
  <c r="U17" i="27"/>
  <c r="U10" i="1"/>
  <c r="AA10" i="1"/>
  <c r="N20" i="27"/>
  <c r="N11" i="23"/>
  <c r="N11" i="1"/>
  <c r="P20" i="27"/>
  <c r="P11" i="23"/>
  <c r="P11" i="1"/>
  <c r="R20" i="27"/>
  <c r="R11" i="23"/>
  <c r="R11" i="1"/>
  <c r="V11" i="1"/>
  <c r="T20" i="27"/>
  <c r="Z20" i="27"/>
  <c r="T11" i="23"/>
  <c r="M11" i="27"/>
  <c r="M12" i="1"/>
  <c r="Q11" i="27"/>
  <c r="S12" i="1"/>
  <c r="U12" i="1"/>
  <c r="N13" i="23"/>
  <c r="N13" i="1"/>
  <c r="P19" i="27"/>
  <c r="P13" i="23"/>
  <c r="P13" i="1"/>
  <c r="R13" i="23"/>
  <c r="R13" i="1"/>
  <c r="T19" i="27"/>
  <c r="X19" i="27"/>
  <c r="T13" i="23"/>
  <c r="M15" i="27"/>
  <c r="M14" i="1"/>
  <c r="O15" i="27"/>
  <c r="Q15" i="27"/>
  <c r="S15" i="27"/>
  <c r="U15" i="27"/>
  <c r="Y15" i="27"/>
  <c r="U14" i="1"/>
  <c r="N21" i="27"/>
  <c r="N15" i="23"/>
  <c r="N15" i="1"/>
  <c r="P21" i="27"/>
  <c r="P15" i="23"/>
  <c r="P15" i="1"/>
  <c r="R21" i="27"/>
  <c r="R15" i="23"/>
  <c r="R15" i="1"/>
  <c r="T21" i="27"/>
  <c r="T15" i="23"/>
  <c r="M14" i="27"/>
  <c r="M16" i="1"/>
  <c r="O14" i="27"/>
  <c r="AA14" i="27"/>
  <c r="U16" i="1"/>
  <c r="N18" i="27"/>
  <c r="N17" i="23"/>
  <c r="N17" i="1"/>
  <c r="P18" i="27"/>
  <c r="P17" i="23"/>
  <c r="P17" i="1"/>
  <c r="R18" i="27"/>
  <c r="R17" i="23"/>
  <c r="R17" i="1"/>
  <c r="T18" i="27"/>
  <c r="T17" i="23"/>
  <c r="M10" i="27"/>
  <c r="M18" i="1"/>
  <c r="Q10" i="27"/>
  <c r="U18" i="1"/>
  <c r="N12" i="27"/>
  <c r="N19" i="23"/>
  <c r="N19" i="1"/>
  <c r="Z19" i="1"/>
  <c r="P12" i="27"/>
  <c r="P19" i="23"/>
  <c r="P19" i="1"/>
  <c r="R12" i="27"/>
  <c r="R19" i="23"/>
  <c r="R19" i="1"/>
  <c r="T12" i="27"/>
  <c r="T19" i="23"/>
  <c r="V19" i="23"/>
  <c r="M20" i="1"/>
  <c r="Q9" i="27"/>
  <c r="U20" i="1"/>
  <c r="N16" i="27"/>
  <c r="N21" i="23"/>
  <c r="N21" i="1"/>
  <c r="P16" i="27"/>
  <c r="P21" i="23"/>
  <c r="P21" i="1"/>
  <c r="R16" i="27"/>
  <c r="R21" i="23"/>
  <c r="R21" i="1"/>
  <c r="T16" i="27"/>
  <c r="Z16" i="27"/>
  <c r="T21" i="23"/>
  <c r="C10" i="1"/>
  <c r="C12" i="1"/>
  <c r="D10" i="1"/>
  <c r="D12" i="1"/>
  <c r="E10" i="1"/>
  <c r="E12" i="1"/>
  <c r="E14" i="1"/>
  <c r="E16" i="1"/>
  <c r="E18" i="1"/>
  <c r="E20" i="1"/>
  <c r="F15" i="1"/>
  <c r="G10" i="1"/>
  <c r="G12" i="1"/>
  <c r="G14" i="1"/>
  <c r="G16" i="1"/>
  <c r="G18" i="1"/>
  <c r="G20" i="1"/>
  <c r="H9" i="1"/>
  <c r="H11" i="1"/>
  <c r="H15" i="1"/>
  <c r="I10" i="1"/>
  <c r="I12" i="1"/>
  <c r="I14" i="1"/>
  <c r="I16" i="1"/>
  <c r="I18" i="1"/>
  <c r="I20" i="1"/>
  <c r="J9" i="1"/>
  <c r="J11" i="1"/>
  <c r="J13" i="1"/>
  <c r="J15" i="1"/>
  <c r="J17" i="1"/>
  <c r="J19" i="1"/>
  <c r="J21" i="1"/>
  <c r="L10" i="1"/>
  <c r="M11" i="1"/>
  <c r="L14" i="1"/>
  <c r="L16" i="1"/>
  <c r="L18" i="1"/>
  <c r="L20" i="1"/>
  <c r="N10" i="1"/>
  <c r="N14" i="1"/>
  <c r="N18" i="1"/>
  <c r="P10" i="1"/>
  <c r="X10" i="1"/>
  <c r="P14" i="1"/>
  <c r="P18" i="1"/>
  <c r="R10" i="1"/>
  <c r="R20" i="1"/>
  <c r="R16" i="1"/>
  <c r="R12" i="1"/>
  <c r="S11" i="1"/>
  <c r="X19" i="1"/>
  <c r="U11" i="1"/>
  <c r="U15" i="1"/>
  <c r="U19" i="1"/>
  <c r="M9" i="23"/>
  <c r="Q9" i="23"/>
  <c r="U9" i="23"/>
  <c r="C10" i="23"/>
  <c r="G10" i="23"/>
  <c r="M11" i="23"/>
  <c r="Q11" i="23"/>
  <c r="U11" i="23"/>
  <c r="C12" i="23"/>
  <c r="G12" i="23"/>
  <c r="E13" i="23"/>
  <c r="I13" i="23"/>
  <c r="M13" i="23"/>
  <c r="Q13" i="23"/>
  <c r="U13" i="23"/>
  <c r="C14" i="23"/>
  <c r="G14" i="23"/>
  <c r="M15" i="23"/>
  <c r="Q15" i="23"/>
  <c r="U15" i="23"/>
  <c r="C16" i="23"/>
  <c r="G16" i="23"/>
  <c r="E17" i="23"/>
  <c r="I17" i="23"/>
  <c r="M17" i="23"/>
  <c r="Q17" i="23"/>
  <c r="U17" i="23"/>
  <c r="C18" i="23"/>
  <c r="G18" i="23"/>
  <c r="E19" i="23"/>
  <c r="I19" i="23"/>
  <c r="M19" i="23"/>
  <c r="Q19" i="23"/>
  <c r="U19" i="23"/>
  <c r="C20" i="23"/>
  <c r="G20" i="23"/>
  <c r="E21" i="23"/>
  <c r="I21" i="23"/>
  <c r="M21" i="23"/>
  <c r="Q21" i="23"/>
  <c r="U21" i="23"/>
  <c r="J19" i="27"/>
  <c r="G10" i="27"/>
  <c r="I9" i="27"/>
  <c r="V20" i="20"/>
  <c r="X20" i="20"/>
  <c r="Z20" i="20"/>
  <c r="V18" i="20"/>
  <c r="X18" i="20"/>
  <c r="Z18" i="20"/>
  <c r="V12" i="20"/>
  <c r="X12" i="20"/>
  <c r="Z12" i="20"/>
  <c r="V16" i="20"/>
  <c r="X16" i="20"/>
  <c r="Z16" i="20"/>
  <c r="V14" i="20"/>
  <c r="X14" i="20"/>
  <c r="Z14" i="20"/>
  <c r="Z10" i="20"/>
  <c r="W13" i="20"/>
  <c r="Y13" i="20"/>
  <c r="AA13" i="20"/>
  <c r="Y11" i="20"/>
  <c r="AA11" i="20"/>
  <c r="Y9" i="20"/>
  <c r="AA9" i="20"/>
  <c r="W15" i="20"/>
  <c r="Y15" i="20"/>
  <c r="AA15" i="20"/>
  <c r="W11" i="20"/>
  <c r="C11" i="1"/>
  <c r="D9" i="1"/>
  <c r="D11" i="1"/>
  <c r="D13" i="1"/>
  <c r="C14" i="1"/>
  <c r="C16" i="1"/>
  <c r="C18" i="1"/>
  <c r="C20" i="1"/>
  <c r="D14" i="1"/>
  <c r="D16" i="1"/>
  <c r="D18" i="1"/>
  <c r="D20" i="1"/>
  <c r="E9" i="1"/>
  <c r="E11" i="1"/>
  <c r="E13" i="1"/>
  <c r="E15" i="1"/>
  <c r="E17" i="1"/>
  <c r="E19" i="1"/>
  <c r="E21" i="1"/>
  <c r="F9" i="1"/>
  <c r="F12" i="1"/>
  <c r="F14" i="1"/>
  <c r="F16" i="1"/>
  <c r="F18" i="1"/>
  <c r="F20" i="1"/>
  <c r="G9" i="1"/>
  <c r="G11" i="1"/>
  <c r="G13" i="1"/>
  <c r="G15" i="1"/>
  <c r="G17" i="1"/>
  <c r="G19" i="1"/>
  <c r="G21" i="1"/>
  <c r="H10" i="1"/>
  <c r="H12" i="1"/>
  <c r="H14" i="1"/>
  <c r="H16" i="1"/>
  <c r="H18" i="1"/>
  <c r="H20" i="1"/>
  <c r="I9" i="1"/>
  <c r="I11" i="1"/>
  <c r="I13" i="1"/>
  <c r="I15" i="1"/>
  <c r="I17" i="1"/>
  <c r="I19" i="1"/>
  <c r="I21" i="1"/>
  <c r="J10" i="1"/>
  <c r="J12" i="1"/>
  <c r="J14" i="1"/>
  <c r="J16" i="1"/>
  <c r="J18" i="1"/>
  <c r="J20" i="1"/>
  <c r="K9" i="1"/>
  <c r="K11" i="1"/>
  <c r="K13" i="1"/>
  <c r="K15" i="1"/>
  <c r="K17" i="1"/>
  <c r="K19" i="1"/>
  <c r="K21" i="1"/>
  <c r="M9" i="1"/>
  <c r="M10" i="1"/>
  <c r="L12" i="1"/>
  <c r="L13" i="1"/>
  <c r="L15" i="1"/>
  <c r="L17" i="1"/>
  <c r="L19" i="1"/>
  <c r="L21" i="1"/>
  <c r="N12" i="1"/>
  <c r="N16" i="1"/>
  <c r="N20" i="1"/>
  <c r="O12" i="1"/>
  <c r="O16" i="1"/>
  <c r="O20" i="1"/>
  <c r="P12" i="1"/>
  <c r="P16" i="1"/>
  <c r="P20" i="1"/>
  <c r="Q10" i="1"/>
  <c r="Q16" i="1"/>
  <c r="Q20" i="1"/>
  <c r="Q12" i="1"/>
  <c r="R18" i="1"/>
  <c r="R14" i="1"/>
  <c r="S14" i="1"/>
  <c r="S18" i="1"/>
  <c r="S13" i="1"/>
  <c r="T13" i="1"/>
  <c r="T17" i="1"/>
  <c r="T21" i="1"/>
  <c r="U13" i="1"/>
  <c r="U17" i="1"/>
  <c r="U21" i="1"/>
  <c r="C9" i="23"/>
  <c r="G9" i="23"/>
  <c r="K9" i="23"/>
  <c r="O9" i="23"/>
  <c r="S9" i="23"/>
  <c r="E10" i="23"/>
  <c r="I10" i="23"/>
  <c r="M10" i="23"/>
  <c r="Q10" i="23"/>
  <c r="U10" i="23"/>
  <c r="W10" i="23"/>
  <c r="C11" i="23"/>
  <c r="G11" i="23"/>
  <c r="K11" i="23"/>
  <c r="O11" i="23"/>
  <c r="S11" i="23"/>
  <c r="E12" i="23"/>
  <c r="I12" i="23"/>
  <c r="M12" i="23"/>
  <c r="Q12" i="23"/>
  <c r="U12" i="23"/>
  <c r="W12" i="23"/>
  <c r="C13" i="23"/>
  <c r="G13" i="23"/>
  <c r="K13" i="23"/>
  <c r="O13" i="23"/>
  <c r="S13" i="23"/>
  <c r="E14" i="23"/>
  <c r="I14" i="23"/>
  <c r="M14" i="23"/>
  <c r="Q14" i="23"/>
  <c r="U14" i="23"/>
  <c r="W14" i="23"/>
  <c r="C15" i="23"/>
  <c r="G15" i="23"/>
  <c r="K15" i="23"/>
  <c r="O15" i="23"/>
  <c r="S15" i="23"/>
  <c r="E16" i="23"/>
  <c r="I16" i="23"/>
  <c r="M16" i="23"/>
  <c r="Q16" i="23"/>
  <c r="U16" i="23"/>
  <c r="AA16" i="23"/>
  <c r="C17" i="23"/>
  <c r="G17" i="23"/>
  <c r="K17" i="23"/>
  <c r="O17" i="23"/>
  <c r="S17" i="23"/>
  <c r="E18" i="23"/>
  <c r="I18" i="23"/>
  <c r="M18" i="23"/>
  <c r="Q18" i="23"/>
  <c r="U18" i="23"/>
  <c r="W18" i="23"/>
  <c r="C19" i="23"/>
  <c r="G19" i="23"/>
  <c r="K19" i="23"/>
  <c r="O19" i="23"/>
  <c r="S19" i="23"/>
  <c r="E20" i="23"/>
  <c r="I20" i="23"/>
  <c r="M20" i="23"/>
  <c r="Q20" i="23"/>
  <c r="U20" i="23"/>
  <c r="C21" i="23"/>
  <c r="G21" i="23"/>
  <c r="K21" i="23"/>
  <c r="O21" i="23"/>
  <c r="S21" i="23"/>
  <c r="F19" i="27"/>
  <c r="N19" i="27"/>
  <c r="C10" i="27"/>
  <c r="K10" i="27"/>
  <c r="H13" i="27"/>
  <c r="P13" i="27"/>
  <c r="X13" i="27"/>
  <c r="E9" i="27"/>
  <c r="M9" i="27"/>
  <c r="X12" i="27"/>
  <c r="Y18" i="27"/>
  <c r="Z19" i="23"/>
  <c r="X10" i="23"/>
  <c r="X18" i="23"/>
  <c r="X20" i="23"/>
  <c r="W11" i="23"/>
  <c r="W20" i="23"/>
  <c r="C9" i="1"/>
  <c r="O9" i="1"/>
  <c r="Q9" i="1"/>
  <c r="S9" i="1"/>
  <c r="U9" i="1"/>
  <c r="N9" i="1"/>
  <c r="P9" i="1"/>
  <c r="R9" i="1"/>
  <c r="T9" i="1"/>
  <c r="X9" i="1"/>
  <c r="AA9" i="27"/>
  <c r="Z12" i="27"/>
  <c r="AA11" i="27"/>
  <c r="K26" i="30"/>
  <c r="V21" i="23"/>
  <c r="Z18" i="27"/>
  <c r="Z15" i="23"/>
  <c r="X13" i="23"/>
  <c r="AA19" i="27"/>
  <c r="Z9" i="28"/>
  <c r="Z13" i="28"/>
  <c r="Z15" i="28"/>
  <c r="Y18" i="28"/>
  <c r="X15" i="28"/>
  <c r="Y11" i="28"/>
  <c r="Y12" i="28"/>
  <c r="X17" i="28"/>
  <c r="V10" i="28"/>
  <c r="AA21" i="28"/>
  <c r="Z11" i="28"/>
  <c r="W29" i="33"/>
  <c r="W30" i="33"/>
  <c r="W24" i="33"/>
  <c r="W23" i="33"/>
  <c r="W26" i="33"/>
  <c r="W27" i="33"/>
  <c r="W25" i="33"/>
  <c r="X14" i="28"/>
  <c r="X13" i="28"/>
  <c r="AA9" i="28"/>
  <c r="AA20" i="28"/>
  <c r="V21" i="28"/>
  <c r="X9" i="23"/>
  <c r="X14" i="23"/>
  <c r="AA13" i="27"/>
  <c r="AA11" i="30"/>
  <c r="AA9" i="30"/>
  <c r="Y10" i="27"/>
  <c r="W16" i="23"/>
  <c r="Z13" i="23"/>
  <c r="V15" i="1"/>
  <c r="X15" i="1"/>
  <c r="Z18" i="23"/>
  <c r="Z10" i="27"/>
  <c r="Z15" i="27"/>
  <c r="Y9" i="28"/>
  <c r="Y14" i="28"/>
  <c r="AA14" i="28"/>
  <c r="V9" i="28"/>
  <c r="V13" i="28"/>
  <c r="AA10" i="28"/>
  <c r="W24" i="32"/>
  <c r="V12" i="32"/>
  <c r="V12" i="23"/>
  <c r="Z10" i="23"/>
  <c r="W23" i="32"/>
  <c r="Y11" i="30"/>
  <c r="Y18" i="30"/>
  <c r="Y21" i="30"/>
  <c r="Y16" i="30"/>
  <c r="X20" i="30"/>
  <c r="Y15" i="30"/>
  <c r="Y13" i="30"/>
  <c r="X10" i="30"/>
  <c r="Y9" i="30"/>
  <c r="Z19" i="32"/>
  <c r="AA16" i="28"/>
  <c r="X12" i="32"/>
  <c r="K29" i="30"/>
  <c r="X15" i="27"/>
  <c r="Y19" i="27"/>
  <c r="V16" i="23"/>
  <c r="X16" i="28"/>
  <c r="X16" i="23"/>
  <c r="X12" i="23"/>
  <c r="V10" i="27"/>
  <c r="W21" i="23"/>
  <c r="W17" i="23"/>
  <c r="W13" i="23"/>
  <c r="W9" i="23"/>
  <c r="X11" i="1"/>
  <c r="Z11" i="1"/>
  <c r="V13" i="27"/>
  <c r="Z13" i="27"/>
  <c r="X20" i="28"/>
  <c r="Y13" i="28"/>
  <c r="V19" i="1"/>
  <c r="Z19" i="28"/>
  <c r="V20" i="28"/>
  <c r="X11" i="28"/>
  <c r="V10" i="23"/>
  <c r="X10" i="27"/>
  <c r="Y9" i="27"/>
  <c r="AA21" i="23"/>
  <c r="AA20" i="23"/>
  <c r="AA17" i="23"/>
  <c r="AA13" i="23"/>
  <c r="AA9" i="23"/>
  <c r="Y10" i="1"/>
  <c r="AA10" i="27"/>
  <c r="Z15" i="1"/>
  <c r="Z20" i="23"/>
  <c r="V11" i="27"/>
  <c r="W25" i="28"/>
  <c r="V19" i="28"/>
  <c r="Y10" i="28"/>
  <c r="V16" i="28"/>
  <c r="X21" i="27"/>
  <c r="V17" i="27"/>
  <c r="Y12" i="27"/>
  <c r="Y13" i="27"/>
  <c r="X20" i="27"/>
  <c r="AA16" i="27"/>
  <c r="Z9" i="27"/>
  <c r="Z21" i="27"/>
  <c r="Z11" i="23"/>
  <c r="AA21" i="27"/>
  <c r="Y21" i="23"/>
  <c r="Y17" i="23"/>
  <c r="Y13" i="23"/>
  <c r="AA12" i="23"/>
  <c r="X16" i="27"/>
  <c r="Y18" i="23"/>
  <c r="Y14" i="23"/>
  <c r="AA18" i="23"/>
  <c r="AA14" i="23"/>
  <c r="AA10" i="23"/>
  <c r="V15" i="23"/>
  <c r="X15" i="23"/>
  <c r="W15" i="27"/>
  <c r="AF15" i="27"/>
  <c r="W10" i="1"/>
  <c r="W17" i="27"/>
  <c r="AH17" i="27"/>
  <c r="Y17" i="27"/>
  <c r="V9" i="23"/>
  <c r="Z9" i="23"/>
  <c r="W18" i="27"/>
  <c r="AH18" i="27"/>
  <c r="V14" i="27"/>
  <c r="Z16" i="23"/>
  <c r="Z12" i="23"/>
  <c r="Y20" i="27"/>
  <c r="Y20" i="23"/>
  <c r="Y16" i="23"/>
  <c r="AA19" i="23"/>
  <c r="AA15" i="23"/>
  <c r="AA11" i="23"/>
  <c r="Y9" i="23"/>
  <c r="V10" i="1"/>
  <c r="AA9" i="1"/>
  <c r="Y19" i="23"/>
  <c r="V14" i="23"/>
  <c r="X21" i="23"/>
  <c r="X19" i="23"/>
  <c r="Y15" i="23"/>
  <c r="X11" i="23"/>
  <c r="Z21" i="23"/>
  <c r="X17" i="27"/>
  <c r="Y16" i="27"/>
  <c r="V15" i="27"/>
  <c r="W21" i="27"/>
  <c r="AH21" i="27"/>
  <c r="X9" i="27"/>
  <c r="AE13" i="27"/>
  <c r="W19" i="27"/>
  <c r="AH19" i="27"/>
  <c r="Y14" i="27"/>
  <c r="Y11" i="27"/>
  <c r="Y12" i="23"/>
  <c r="Y10" i="23"/>
  <c r="AA18" i="27"/>
  <c r="Z14" i="27"/>
  <c r="W9" i="1"/>
  <c r="Z11" i="27"/>
  <c r="AA20" i="27"/>
  <c r="W19" i="23"/>
  <c r="W15" i="23"/>
  <c r="AA17" i="1"/>
  <c r="W17" i="1"/>
  <c r="Y17" i="1"/>
  <c r="V21" i="1"/>
  <c r="X21" i="1"/>
  <c r="Z21" i="1"/>
  <c r="X13" i="1"/>
  <c r="Z13" i="1"/>
  <c r="AA19" i="1"/>
  <c r="Y19" i="1"/>
  <c r="W19" i="1"/>
  <c r="Y11" i="1"/>
  <c r="AA11" i="1"/>
  <c r="W11" i="1"/>
  <c r="Y14" i="1"/>
  <c r="AA14" i="1"/>
  <c r="W14" i="1"/>
  <c r="W12" i="1"/>
  <c r="Y12" i="1"/>
  <c r="AA12" i="1"/>
  <c r="AA21" i="1"/>
  <c r="W21" i="1"/>
  <c r="Y21" i="1"/>
  <c r="W13" i="1"/>
  <c r="Y13" i="1"/>
  <c r="AA13" i="1"/>
  <c r="X17" i="1"/>
  <c r="Z17" i="1"/>
  <c r="W15" i="1"/>
  <c r="Y15" i="1"/>
  <c r="AA15" i="1"/>
  <c r="W20" i="1"/>
  <c r="Y20" i="1"/>
  <c r="AA20" i="1"/>
  <c r="W18" i="1"/>
  <c r="Y18" i="1"/>
  <c r="AA18" i="1"/>
  <c r="W16" i="1"/>
  <c r="Y16" i="1"/>
  <c r="AA16" i="1"/>
  <c r="V20" i="1"/>
  <c r="X20" i="1"/>
  <c r="Z20" i="1"/>
  <c r="V18" i="1"/>
  <c r="X18" i="1"/>
  <c r="Z18" i="1"/>
  <c r="V14" i="1"/>
  <c r="X14" i="1"/>
  <c r="Z14" i="1"/>
  <c r="Y9" i="1"/>
  <c r="Y24" i="1"/>
  <c r="Y11" i="23"/>
  <c r="V20" i="23"/>
  <c r="V18" i="23"/>
  <c r="V11" i="23"/>
  <c r="X18" i="27"/>
  <c r="W16" i="27"/>
  <c r="AF12" i="27"/>
  <c r="V9" i="27"/>
  <c r="V16" i="27"/>
  <c r="V21" i="27"/>
  <c r="V12" i="27"/>
  <c r="AF11" i="27"/>
  <c r="V20" i="27"/>
  <c r="X17" i="23"/>
  <c r="Z17" i="23"/>
  <c r="AA15" i="27"/>
  <c r="Z19" i="27"/>
  <c r="AA17" i="27"/>
  <c r="V16" i="1"/>
  <c r="X16" i="1"/>
  <c r="Z16" i="1"/>
  <c r="V12" i="1"/>
  <c r="Z12" i="1"/>
  <c r="X12" i="1"/>
  <c r="Z10" i="1"/>
  <c r="V9" i="1"/>
  <c r="Z9" i="1"/>
  <c r="U26" i="1"/>
  <c r="U23" i="1"/>
  <c r="U25" i="1"/>
  <c r="U24" i="1"/>
  <c r="W24" i="27"/>
  <c r="W28" i="27"/>
  <c r="AH16" i="27"/>
  <c r="W29" i="28"/>
  <c r="W28" i="28"/>
  <c r="W24" i="28"/>
  <c r="W23" i="1"/>
  <c r="Y26" i="1"/>
  <c r="Y28" i="1"/>
  <c r="Y29" i="1"/>
  <c r="W23" i="28"/>
  <c r="W25" i="1"/>
  <c r="W25" i="27"/>
  <c r="W23" i="27"/>
  <c r="W27" i="27"/>
  <c r="Y23" i="1"/>
  <c r="W24" i="1"/>
  <c r="W26" i="1"/>
  <c r="Y25" i="1"/>
</calcChain>
</file>

<file path=xl/comments1.xml><?xml version="1.0" encoding="utf-8"?>
<comments xmlns="http://schemas.openxmlformats.org/spreadsheetml/2006/main">
  <authors>
    <author>Cathy</author>
  </authors>
  <commentList>
    <comment ref="S20" authorId="0">
      <text>
        <r>
          <rPr>
            <b/>
            <sz val="9"/>
            <color indexed="81"/>
            <rFont val="Tahoma"/>
            <charset val="1"/>
          </rPr>
          <t>Cathy:</t>
        </r>
        <r>
          <rPr>
            <sz val="9"/>
            <color indexed="81"/>
            <rFont val="Tahoma"/>
            <charset val="1"/>
          </rPr>
          <t xml:space="preserve">
This was updated in the base file for the 2013 report; therefore, I have hardcoded the value for the 2012 report</t>
        </r>
      </text>
    </comment>
  </commentList>
</comments>
</file>

<file path=xl/sharedStrings.xml><?xml version="1.0" encoding="utf-8"?>
<sst xmlns="http://schemas.openxmlformats.org/spreadsheetml/2006/main" count="468" uniqueCount="110">
  <si>
    <t>Project Name / Owner</t>
  </si>
  <si>
    <t>Number of Housing Units</t>
  </si>
  <si>
    <t>Location</t>
  </si>
  <si>
    <r>
      <t xml:space="preserve">Pre-DER Cond. Floor Area
</t>
    </r>
    <r>
      <rPr>
        <sz val="9"/>
        <color indexed="8"/>
        <rFont val="Arial"/>
        <family val="2"/>
      </rPr>
      <t>(sq.ft.)</t>
    </r>
  </si>
  <si>
    <t>Building Type</t>
  </si>
  <si>
    <t>Stories</t>
  </si>
  <si>
    <t>Approx. Year Built</t>
  </si>
  <si>
    <t>Status</t>
  </si>
  <si>
    <t>Double checked numbers? (Y/N)</t>
  </si>
  <si>
    <t>Source for Geometry Data</t>
  </si>
  <si>
    <r>
      <t xml:space="preserve">Post-DER Con. Floor Area        </t>
    </r>
    <r>
      <rPr>
        <sz val="9"/>
        <color indexed="8"/>
        <rFont val="Arial"/>
        <family val="2"/>
      </rPr>
      <t>(sq.ft.)</t>
    </r>
  </si>
  <si>
    <t>Pre-DER Enclosure Area (sf)</t>
  </si>
  <si>
    <t>Post-DER Enclosure Area (sf)</t>
  </si>
  <si>
    <t>Pre-DER Volume (ft3)</t>
  </si>
  <si>
    <t>Post-DER Volume (ft3)</t>
  </si>
  <si>
    <t>Pre-DER   CFM 50</t>
  </si>
  <si>
    <t>Post-DER CFM 50</t>
  </si>
  <si>
    <t xml:space="preserve">Pre-DER   ACH 50 </t>
  </si>
  <si>
    <t xml:space="preserve">Post-DER ACH 50 </t>
  </si>
  <si>
    <t>Pre-DER   CFM 50 per Sq.Ft. of Enclosure</t>
    <phoneticPr fontId="0" type="noConversion"/>
  </si>
  <si>
    <t>Post-DER CFM 50 per Sq. Ft. of Enclosure</t>
    <phoneticPr fontId="0" type="noConversion"/>
  </si>
  <si>
    <t>Pre-DER CFM/sf Conditioned floor area</t>
  </si>
  <si>
    <t>Post-DER CFM/sf Conditioned floor area</t>
  </si>
  <si>
    <t>National Grid Deep Energy Retrofit Pilot</t>
  </si>
  <si>
    <t>C</t>
  </si>
  <si>
    <t>Clark</t>
  </si>
  <si>
    <t>Y</t>
  </si>
  <si>
    <t>Brownsberger</t>
  </si>
  <si>
    <t>Tweedly</t>
  </si>
  <si>
    <t>Koh</t>
  </si>
  <si>
    <t>Hall</t>
  </si>
  <si>
    <t>Venable-Hwang</t>
  </si>
  <si>
    <t>C</t>
    <phoneticPr fontId="0" type="noConversion"/>
  </si>
  <si>
    <t>Lavine</t>
  </si>
  <si>
    <t>Buhs</t>
  </si>
  <si>
    <t>Wick</t>
  </si>
  <si>
    <t>Habitat for Humanity of North Central Massachusetts</t>
  </si>
  <si>
    <t>Aquiline</t>
  </si>
  <si>
    <t>Atkins</t>
  </si>
  <si>
    <t>N</t>
  </si>
  <si>
    <t>Cunningham</t>
  </si>
  <si>
    <t>ChainSaw: Y/N</t>
  </si>
  <si>
    <t>Sort Order</t>
  </si>
  <si>
    <t>Spray Foam in Walls: Y/N</t>
  </si>
  <si>
    <t>Spray Foam in Roof/Attic: Y/N</t>
  </si>
  <si>
    <t>Addition to house: Y/N</t>
  </si>
  <si>
    <t>Mean</t>
  </si>
  <si>
    <t>A</t>
  </si>
  <si>
    <t>Roof Insulation:Exterior, Y/N</t>
  </si>
  <si>
    <t>Roof or Attic</t>
  </si>
  <si>
    <t>R</t>
  </si>
  <si>
    <t>Mean w/o Arlington</t>
  </si>
  <si>
    <t>Insulated Slab</t>
  </si>
  <si>
    <t>Year Retrofit completed</t>
  </si>
  <si>
    <t>Year House Purchased</t>
  </si>
  <si>
    <t>Fdn Insul: 1=rigid, conc;2=SPF, conc; 3=SPF, Stone</t>
  </si>
  <si>
    <t>Pre-Retrofit Basement</t>
  </si>
  <si>
    <t>Post Retrofit Basement</t>
  </si>
  <si>
    <t>Std Dev</t>
  </si>
  <si>
    <t>Sub's First DER</t>
  </si>
  <si>
    <t>GC's First DER</t>
  </si>
  <si>
    <t xml:space="preserve"> Mean R+W</t>
  </si>
  <si>
    <t>Mean R only</t>
  </si>
  <si>
    <t>Mean R only w/o Arlington</t>
  </si>
  <si>
    <t>Mean w/o SPF</t>
  </si>
  <si>
    <t>Spray foam is air barrier in R or W</t>
  </si>
  <si>
    <t xml:space="preserve"> Mean SPF AB</t>
  </si>
  <si>
    <t>Mean SPF AB w/o Arlington</t>
  </si>
  <si>
    <t>Mean no SPF AB</t>
  </si>
  <si>
    <t>Wall Insulation Exterior Y/N</t>
  </si>
  <si>
    <t>Mean R+W</t>
  </si>
  <si>
    <t>Mean Vented</t>
  </si>
  <si>
    <t>Mean Unvented Exterior</t>
  </si>
  <si>
    <t>Median R+W</t>
  </si>
  <si>
    <t>Median</t>
  </si>
  <si>
    <t>Mean W only w/o Arlington</t>
  </si>
  <si>
    <t>Median W only w/o Arlington</t>
  </si>
  <si>
    <t>Median W only w/ Arlington</t>
  </si>
  <si>
    <t>Mean nonchainsaw w/o Arlington</t>
  </si>
  <si>
    <t>Median nonchainsaw w/ Arlington</t>
  </si>
  <si>
    <t>Median nonchainsaw w/o Arlington</t>
  </si>
  <si>
    <t>Mean Unvented Interior w/o Arlington</t>
  </si>
  <si>
    <t>Median Vented</t>
  </si>
  <si>
    <t>Mean Unvented w/o Arlington</t>
  </si>
  <si>
    <t>Mean chainsaw w/o Newton</t>
  </si>
  <si>
    <t>Mean W only w/o JP and Arlington</t>
  </si>
  <si>
    <t>SPF air control in R+W</t>
  </si>
  <si>
    <t>SPF air control in Attic</t>
  </si>
  <si>
    <t>SPF air control in Roof</t>
  </si>
  <si>
    <t>SPF not air control</t>
  </si>
  <si>
    <t>SPF air control in Roof/Attic (not both)</t>
  </si>
  <si>
    <t>SPF R&amp;W air control</t>
  </si>
  <si>
    <t>ACH50 porch not attached</t>
  </si>
  <si>
    <t>ACH50 section not treated</t>
  </si>
  <si>
    <t>ACH50 all others</t>
  </si>
  <si>
    <t>No SPF</t>
  </si>
  <si>
    <t>SPF R air control</t>
  </si>
  <si>
    <t>SPF A air control</t>
  </si>
  <si>
    <t>Median SPF AB w/o Arlington</t>
  </si>
  <si>
    <t>Median R only w/o Arlington</t>
  </si>
  <si>
    <t>Median w/o Arlington</t>
  </si>
  <si>
    <t>Median Unvented w/o Arlington</t>
  </si>
  <si>
    <t>Mean Unvented</t>
  </si>
  <si>
    <t>Median Unvented</t>
  </si>
  <si>
    <t>Median Unvented Exterior</t>
  </si>
  <si>
    <t>Median Unvented Interior w/o Arlington</t>
  </si>
  <si>
    <t>Mean Unvented Exterior w/o Newton</t>
  </si>
  <si>
    <t>Median Unvented Exterior w/o Newton</t>
  </si>
  <si>
    <t>Median Unvented Interior</t>
  </si>
  <si>
    <t>Mean Unvented Interior</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</si>
</sst>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9" x14ac:knownFonts="1">
    <font>
      <sz val="11"/>
      <color theme="1"/>
      <name val="Calibri"/>
      <family val="2"/>
      <scheme val="minor"/>
    </font>
    <font>
      <sz val="11"/>
      <color theme="1"/>
      <name val="Calibri"/>
      <family val="2"/>
      <scheme val="minor"/>
    </font>
    <font>
      <sz val="11"/>
      <color indexed="8"/>
      <name val="Arial"/>
      <family val="2"/>
    </font>
    <font>
      <sz val="9"/>
      <color indexed="8"/>
      <name val="Arial"/>
      <family val="2"/>
    </font>
    <font>
      <sz val="11"/>
      <color indexed="19"/>
      <name val="Calibri"/>
      <family val="2"/>
    </font>
    <font>
      <sz val="9"/>
      <color indexed="81"/>
      <name val="Tahoma"/>
      <charset val="1"/>
    </font>
    <font>
      <b/>
      <sz val="9"/>
      <color indexed="81"/>
      <name val="Tahoma"/>
      <charset val="1"/>
    </font>
    <font>
      <u/>
      <sz val="11"/>
      <color theme="10"/>
      <name val="Calibri"/>
      <family val="2"/>
      <scheme val="minor"/>
    </font>
    <font>
      <u/>
      <sz val="11"/>
      <color theme="11"/>
      <name val="Calibri"/>
      <family val="2"/>
      <scheme val="minor"/>
    </font>
  </fonts>
  <fills count="5">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indexed="55"/>
        <bgColor indexed="64"/>
      </patternFill>
    </fill>
  </fills>
  <borders count="19">
    <border>
      <left/>
      <right/>
      <top/>
      <bottom/>
      <diagonal/>
    </border>
    <border>
      <left/>
      <right/>
      <top/>
      <bottom style="medium">
        <color auto="1"/>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right/>
      <top style="medium">
        <color auto="1"/>
      </top>
      <bottom style="medium">
        <color auto="1"/>
      </bottom>
      <diagonal/>
    </border>
    <border>
      <left/>
      <right/>
      <top style="medium">
        <color auto="1"/>
      </top>
      <bottom style="thin">
        <color auto="1"/>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top style="hair">
        <color auto="1"/>
      </top>
      <bottom style="hair">
        <color auto="1"/>
      </bottom>
      <diagonal/>
    </border>
    <border>
      <left/>
      <right/>
      <top style="thin">
        <color auto="1"/>
      </top>
      <bottom/>
      <diagonal/>
    </border>
    <border>
      <left style="medium">
        <color auto="1"/>
      </left>
      <right/>
      <top/>
      <bottom/>
      <diagonal/>
    </border>
    <border>
      <left/>
      <right style="medium">
        <color auto="1"/>
      </right>
      <top/>
      <bottom/>
      <diagonal/>
    </border>
    <border>
      <left/>
      <right/>
      <top/>
      <bottom style="hair">
        <color auto="1"/>
      </bottom>
      <diagonal/>
    </border>
    <border>
      <left/>
      <right style="medium">
        <color auto="1"/>
      </right>
      <top style="hair">
        <color auto="1"/>
      </top>
      <bottom style="hair">
        <color auto="1"/>
      </bottom>
      <diagonal/>
    </border>
    <border>
      <left style="medium">
        <color auto="1"/>
      </left>
      <right/>
      <top style="hair">
        <color auto="1"/>
      </top>
      <bottom style="hair">
        <color auto="1"/>
      </bottom>
      <diagonal/>
    </border>
    <border>
      <left/>
      <right style="medium">
        <color auto="1"/>
      </right>
      <top style="hair">
        <color auto="1"/>
      </top>
      <bottom/>
      <diagonal/>
    </border>
    <border>
      <left/>
      <right/>
      <top style="hair">
        <color auto="1"/>
      </top>
      <bottom/>
      <diagonal/>
    </border>
  </borders>
  <cellStyleXfs count="10">
    <xf numFmtId="0" fontId="0" fillId="0" borderId="0"/>
    <xf numFmtId="0" fontId="1" fillId="0" borderId="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cellStyleXfs>
  <cellXfs count="55">
    <xf numFmtId="0" fontId="0" fillId="0" borderId="0" xfId="0"/>
    <xf numFmtId="0" fontId="2" fillId="0" borderId="1" xfId="0" applyFont="1" applyBorder="1" applyAlignment="1">
      <alignment horizontal="center" wrapText="1"/>
    </xf>
    <xf numFmtId="0" fontId="2" fillId="0" borderId="0" xfId="0" applyFont="1" applyBorder="1" applyAlignment="1">
      <alignment horizontal="center" wrapText="1"/>
    </xf>
    <xf numFmtId="0" fontId="2" fillId="0" borderId="2"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5" xfId="0" applyFont="1" applyBorder="1" applyAlignment="1">
      <alignment horizontal="center" wrapText="1"/>
    </xf>
    <xf numFmtId="0" fontId="2" fillId="0" borderId="6" xfId="0" applyFont="1" applyBorder="1" applyAlignment="1">
      <alignment horizontal="center" wrapText="1"/>
    </xf>
    <xf numFmtId="0" fontId="2" fillId="0" borderId="0" xfId="0" applyFont="1" applyFill="1" applyBorder="1" applyAlignment="1">
      <alignment horizontal="center" wrapText="1"/>
    </xf>
    <xf numFmtId="0" fontId="2" fillId="2" borderId="7" xfId="0" applyFont="1" applyFill="1" applyBorder="1" applyAlignment="1">
      <alignment horizontal="centerContinuous" vertical="center" wrapText="1"/>
    </xf>
    <xf numFmtId="0" fontId="2" fillId="2" borderId="7" xfId="0" applyFont="1" applyFill="1" applyBorder="1" applyAlignment="1">
      <alignment horizontal="left" vertical="center" wrapText="1"/>
    </xf>
    <xf numFmtId="0" fontId="0" fillId="2" borderId="7" xfId="0" applyFill="1" applyBorder="1" applyAlignment="1">
      <alignment horizontal="centerContinuous" vertical="center" wrapText="1"/>
    </xf>
    <xf numFmtId="0" fontId="0" fillId="2" borderId="8" xfId="0" applyFill="1" applyBorder="1" applyAlignment="1">
      <alignment horizontal="centerContinuous" vertical="center" wrapText="1"/>
    </xf>
    <xf numFmtId="0" fontId="0" fillId="2" borderId="9" xfId="0" applyFill="1" applyBorder="1" applyAlignment="1">
      <alignment horizontal="centerContinuous" vertical="center" wrapText="1"/>
    </xf>
    <xf numFmtId="17" fontId="0" fillId="2" borderId="9" xfId="0" applyNumberFormat="1" applyFill="1" applyBorder="1" applyAlignment="1">
      <alignment horizontal="centerContinuous" vertical="center" wrapText="1"/>
    </xf>
    <xf numFmtId="17" fontId="0" fillId="2" borderId="7" xfId="0" applyNumberFormat="1" applyFill="1" applyBorder="1" applyAlignment="1">
      <alignment horizontal="centerContinuous" vertical="center" wrapText="1"/>
    </xf>
    <xf numFmtId="17" fontId="0" fillId="2" borderId="8" xfId="0" applyNumberFormat="1" applyFill="1" applyBorder="1" applyAlignment="1">
      <alignment horizontal="centerContinuous" vertical="center" wrapText="1"/>
    </xf>
    <xf numFmtId="0" fontId="0" fillId="0" borderId="0" xfId="0" applyAlignment="1">
      <alignment vertical="center"/>
    </xf>
    <xf numFmtId="0" fontId="0" fillId="2" borderId="10" xfId="0" applyFill="1" applyBorder="1" applyAlignment="1">
      <alignment horizontal="center" vertical="center" wrapText="1"/>
    </xf>
    <xf numFmtId="3" fontId="1" fillId="3" borderId="11" xfId="1" applyNumberFormat="1" applyFill="1" applyBorder="1" applyAlignment="1">
      <alignment horizontal="center" vertical="center" wrapText="1"/>
    </xf>
    <xf numFmtId="0" fontId="0" fillId="2" borderId="0" xfId="0" applyFill="1" applyBorder="1" applyAlignment="1" applyProtection="1">
      <alignment horizontal="center" vertical="center" wrapText="1"/>
      <protection locked="0"/>
    </xf>
    <xf numFmtId="2" fontId="1" fillId="4" borderId="0" xfId="1" applyNumberFormat="1" applyFill="1" applyBorder="1" applyAlignment="1" applyProtection="1">
      <alignment horizontal="center" vertical="center" wrapText="1"/>
      <protection locked="0"/>
    </xf>
    <xf numFmtId="2" fontId="1" fillId="4" borderId="13" xfId="1" applyNumberFormat="1" applyFill="1" applyBorder="1" applyAlignment="1" applyProtection="1">
      <alignment horizontal="center" vertical="center" wrapText="1"/>
      <protection locked="0"/>
    </xf>
    <xf numFmtId="0" fontId="0" fillId="0" borderId="10" xfId="0" applyBorder="1" applyProtection="1">
      <protection locked="0"/>
    </xf>
    <xf numFmtId="0" fontId="0" fillId="2" borderId="14" xfId="0" applyFill="1" applyBorder="1" applyAlignment="1">
      <alignment horizontal="center" vertical="center" wrapText="1"/>
    </xf>
    <xf numFmtId="3" fontId="1" fillId="3" borderId="0" xfId="1" applyNumberFormat="1" applyFill="1" applyBorder="1" applyAlignment="1">
      <alignment horizontal="center" vertical="center" wrapText="1"/>
    </xf>
    <xf numFmtId="0" fontId="1" fillId="4" borderId="12" xfId="1" applyFill="1" applyBorder="1" applyAlignment="1" applyProtection="1">
      <alignment horizontal="center" vertical="center" wrapText="1"/>
      <protection locked="0"/>
    </xf>
    <xf numFmtId="164" fontId="1" fillId="4" borderId="12" xfId="1" applyNumberFormat="1" applyFill="1" applyBorder="1" applyAlignment="1" applyProtection="1">
      <alignment horizontal="center" vertical="center"/>
      <protection locked="0"/>
    </xf>
    <xf numFmtId="2" fontId="0" fillId="2" borderId="15" xfId="0" applyNumberFormat="1" applyFill="1" applyBorder="1" applyAlignment="1" applyProtection="1">
      <alignment horizontal="center" vertical="center" wrapText="1"/>
      <protection locked="0"/>
    </xf>
    <xf numFmtId="2" fontId="0" fillId="2" borderId="10" xfId="0" applyNumberFormat="1" applyFill="1" applyBorder="1" applyAlignment="1" applyProtection="1">
      <alignment horizontal="center" vertical="center" wrapText="1"/>
      <protection locked="0"/>
    </xf>
    <xf numFmtId="2" fontId="0" fillId="2" borderId="16" xfId="0" applyNumberFormat="1" applyFill="1" applyBorder="1" applyAlignment="1" applyProtection="1">
      <alignment horizontal="center" vertical="center" wrapText="1"/>
      <protection locked="0"/>
    </xf>
    <xf numFmtId="2" fontId="0" fillId="2" borderId="18" xfId="0" applyNumberFormat="1" applyFill="1" applyBorder="1" applyAlignment="1" applyProtection="1">
      <alignment horizontal="center" vertical="center" wrapText="1"/>
      <protection locked="0"/>
    </xf>
    <xf numFmtId="2" fontId="0" fillId="2" borderId="17" xfId="0" applyNumberFormat="1" applyFill="1" applyBorder="1" applyAlignment="1" applyProtection="1">
      <alignment horizontal="center" vertical="center" wrapText="1"/>
      <protection locked="0"/>
    </xf>
    <xf numFmtId="0" fontId="0" fillId="0" borderId="10" xfId="0" applyBorder="1" applyAlignment="1" applyProtection="1">
      <alignment wrapText="1"/>
      <protection locked="0"/>
    </xf>
    <xf numFmtId="2" fontId="0" fillId="2" borderId="15" xfId="0" applyNumberFormat="1" applyFill="1" applyBorder="1" applyAlignment="1" applyProtection="1">
      <alignment horizontal="right" vertical="center" wrapText="1"/>
      <protection locked="0"/>
    </xf>
    <xf numFmtId="0" fontId="1" fillId="4" borderId="16" xfId="1" applyFill="1" applyBorder="1" applyAlignment="1" applyProtection="1">
      <alignment horizontal="center" vertical="center" wrapText="1"/>
      <protection locked="0"/>
    </xf>
    <xf numFmtId="2" fontId="0" fillId="2" borderId="12" xfId="0" applyNumberFormat="1" applyFill="1" applyBorder="1" applyAlignment="1" applyProtection="1">
      <alignment horizontal="center" vertical="center" wrapText="1"/>
      <protection locked="0"/>
    </xf>
    <xf numFmtId="2" fontId="0" fillId="2" borderId="13" xfId="0" applyNumberFormat="1" applyFill="1" applyBorder="1" applyAlignment="1" applyProtection="1">
      <alignment horizontal="center" vertical="center" wrapText="1"/>
      <protection locked="0"/>
    </xf>
    <xf numFmtId="2" fontId="1" fillId="4" borderId="10" xfId="1" applyNumberFormat="1" applyFill="1" applyBorder="1" applyAlignment="1" applyProtection="1">
      <alignment horizontal="center" vertical="center" wrapText="1"/>
      <protection locked="0"/>
    </xf>
    <xf numFmtId="2" fontId="0" fillId="2" borderId="0" xfId="0" applyNumberFormat="1" applyFill="1" applyBorder="1" applyAlignment="1" applyProtection="1">
      <alignment horizontal="center" vertical="center" wrapText="1"/>
      <protection locked="0"/>
    </xf>
    <xf numFmtId="2" fontId="1" fillId="4" borderId="15" xfId="1" applyNumberFormat="1" applyFill="1" applyBorder="1" applyAlignment="1" applyProtection="1">
      <alignment horizontal="center" vertical="center" wrapText="1"/>
      <protection locked="0"/>
    </xf>
    <xf numFmtId="0" fontId="0" fillId="0" borderId="0" xfId="0" applyBorder="1" applyProtection="1">
      <protection locked="0"/>
    </xf>
    <xf numFmtId="0" fontId="0" fillId="0" borderId="0" xfId="0" applyBorder="1" applyAlignment="1" applyProtection="1">
      <alignment wrapText="1"/>
      <protection locked="0"/>
    </xf>
    <xf numFmtId="0" fontId="0" fillId="0" borderId="0" xfId="1" applyFont="1" applyBorder="1" applyAlignment="1" applyProtection="1">
      <alignment wrapText="1"/>
      <protection locked="0"/>
    </xf>
    <xf numFmtId="2" fontId="4" fillId="4" borderId="12" xfId="1" applyNumberFormat="1" applyFont="1" applyFill="1" applyBorder="1" applyAlignment="1" applyProtection="1">
      <alignment horizontal="center" vertical="center"/>
      <protection locked="0"/>
    </xf>
    <xf numFmtId="164" fontId="0" fillId="0" borderId="0" xfId="0" applyNumberFormat="1"/>
    <xf numFmtId="2" fontId="0" fillId="2" borderId="13" xfId="0" applyNumberFormat="1" applyFill="1" applyBorder="1" applyAlignment="1" applyProtection="1">
      <alignment horizontal="right" vertical="center" wrapText="1"/>
      <protection locked="0"/>
    </xf>
    <xf numFmtId="2" fontId="0" fillId="0" borderId="0" xfId="0" applyNumberFormat="1"/>
    <xf numFmtId="2" fontId="1" fillId="4" borderId="18" xfId="1" applyNumberFormat="1" applyFill="1" applyBorder="1" applyAlignment="1" applyProtection="1">
      <alignment horizontal="center" vertical="center" wrapText="1"/>
      <protection locked="0"/>
    </xf>
    <xf numFmtId="2" fontId="1" fillId="4" borderId="17" xfId="1" applyNumberFormat="1" applyFill="1" applyBorder="1" applyAlignment="1" applyProtection="1">
      <alignment horizontal="center" vertical="center" wrapText="1"/>
      <protection locked="0"/>
    </xf>
    <xf numFmtId="3" fontId="0" fillId="0" borderId="0" xfId="0" applyNumberFormat="1"/>
    <xf numFmtId="0" fontId="0" fillId="0" borderId="0" xfId="0" applyFill="1" applyBorder="1" applyAlignment="1">
      <alignment horizontal="center" vertical="center" wrapText="1"/>
    </xf>
    <xf numFmtId="0" fontId="0" fillId="0" borderId="10" xfId="0" applyFill="1" applyBorder="1" applyAlignment="1">
      <alignment horizontal="center" vertical="center" wrapText="1"/>
    </xf>
    <xf numFmtId="0" fontId="0" fillId="0" borderId="0" xfId="0" applyFill="1"/>
    <xf numFmtId="0" fontId="0" fillId="0" borderId="0" xfId="0" applyAlignment="1">
      <alignment wrapText="1"/>
    </xf>
  </cellXfs>
  <cellStyles count="10">
    <cellStyle name="Followed Hyperlink" xfId="3" builtinId="9" hidden="1"/>
    <cellStyle name="Followed Hyperlink" xfId="5" builtinId="9" hidden="1"/>
    <cellStyle name="Followed Hyperlink" xfId="7" builtinId="9" hidden="1"/>
    <cellStyle name="Followed Hyperlink" xfId="9" builtinId="9" hidden="1"/>
    <cellStyle name="Hyperlink" xfId="2" builtinId="8" hidden="1"/>
    <cellStyle name="Hyperlink" xfId="4" builtinId="8" hidden="1"/>
    <cellStyle name="Hyperlink" xfId="6" builtinId="8" hidden="1"/>
    <cellStyle name="Hyperlink" xfId="8" builtinId="8" hidden="1"/>
    <cellStyle name="Normal" xfId="0" builtinId="0"/>
    <cellStyle name="Normal 3" xfId="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11" Type="http://schemas.openxmlformats.org/officeDocument/2006/relationships/externalLink" Target="externalLinks/externalLink1.xml"/><Relationship Id="rId12" Type="http://schemas.openxmlformats.org/officeDocument/2006/relationships/theme" Target="theme/theme1.xml"/><Relationship Id="rId13" Type="http://schemas.openxmlformats.org/officeDocument/2006/relationships/styles" Target="styles.xml"/><Relationship Id="rId14" Type="http://schemas.openxmlformats.org/officeDocument/2006/relationships/sharedStrings" Target="sharedStrings.xml"/><Relationship Id="rId15"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worksheet" Target="worksheets/sheet8.xml"/><Relationship Id="rId9" Type="http://schemas.openxmlformats.org/officeDocument/2006/relationships/worksheet" Target="worksheets/sheet9.xml"/><Relationship Id="rId10" Type="http://schemas.openxmlformats.org/officeDocument/2006/relationships/worksheet" Target="worksheets/sheet10.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20.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22.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2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23.xml.rels><?xml version="1.0" encoding="UTF-8" standalone="yes"?>
<Relationships xmlns="http://schemas.openxmlformats.org/package/2006/relationships"><Relationship Id="rId1" Type="http://schemas.openxmlformats.org/officeDocument/2006/relationships/chartUserShapes" Target="../drawings/drawing25.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0907120030378079"/>
          <c:y val="0.117236785413711"/>
          <c:w val="0.887949412432836"/>
          <c:h val="0.54851272901232"/>
        </c:manualLayout>
      </c:layout>
      <c:barChart>
        <c:barDir val="col"/>
        <c:grouping val="clustered"/>
        <c:varyColors val="0"/>
        <c:ser>
          <c:idx val="0"/>
          <c:order val="0"/>
          <c:tx>
            <c:v>ACH50</c:v>
          </c:tx>
          <c:invertIfNegative val="0"/>
          <c:cat>
            <c:strRef>
              <c:f>Charts!$D$9:$D$21</c:f>
              <c:strCache>
                <c:ptCount val="13"/>
                <c:pt idx="0">
                  <c:v>Belchertown</c:v>
                </c:pt>
                <c:pt idx="1">
                  <c:v>Belmont</c:v>
                </c:pt>
                <c:pt idx="2">
                  <c:v>Millbury</c:v>
                </c:pt>
                <c:pt idx="3">
                  <c:v>Milton</c:v>
                </c:pt>
                <c:pt idx="4">
                  <c:v>Quincy</c:v>
                </c:pt>
                <c:pt idx="5">
                  <c:v>Arlington</c:v>
                </c:pt>
                <c:pt idx="6">
                  <c:v>Newton</c:v>
                </c:pt>
                <c:pt idx="7">
                  <c:v>Jamaica Plain</c:v>
                </c:pt>
                <c:pt idx="8">
                  <c:v>Northampton</c:v>
                </c:pt>
                <c:pt idx="9">
                  <c:v>Lancaster</c:v>
                </c:pt>
                <c:pt idx="10">
                  <c:v>Brookline</c:v>
                </c:pt>
                <c:pt idx="11">
                  <c:v>Westford</c:v>
                </c:pt>
                <c:pt idx="12">
                  <c:v>Gloucester</c:v>
                </c:pt>
              </c:strCache>
            </c:strRef>
          </c:cat>
          <c:val>
            <c:numRef>
              <c:f>Charts!$W$9:$W$21</c:f>
              <c:numCache>
                <c:formatCode>0.00</c:formatCode>
                <c:ptCount val="13"/>
                <c:pt idx="0">
                  <c:v>1.875500935078814</c:v>
                </c:pt>
                <c:pt idx="1">
                  <c:v>0.74204502578292</c:v>
                </c:pt>
                <c:pt idx="2">
                  <c:v>1.418823529411765</c:v>
                </c:pt>
                <c:pt idx="3">
                  <c:v>1.432683501242967</c:v>
                </c:pt>
                <c:pt idx="4">
                  <c:v>1.2579100863919</c:v>
                </c:pt>
                <c:pt idx="5">
                  <c:v>7.257150566648678</c:v>
                </c:pt>
                <c:pt idx="6">
                  <c:v>3.558254200146092</c:v>
                </c:pt>
                <c:pt idx="7">
                  <c:v>2.538862536983985</c:v>
                </c:pt>
                <c:pt idx="8">
                  <c:v>0.819662661737523</c:v>
                </c:pt>
                <c:pt idx="9">
                  <c:v>1.425097276264591</c:v>
                </c:pt>
                <c:pt idx="10">
                  <c:v>1.500744644289151</c:v>
                </c:pt>
                <c:pt idx="11">
                  <c:v>1.254637436762226</c:v>
                </c:pt>
                <c:pt idx="12">
                  <c:v>0.605540047240713</c:v>
                </c:pt>
              </c:numCache>
            </c:numRef>
          </c:val>
        </c:ser>
        <c:dLbls>
          <c:showLegendKey val="0"/>
          <c:showVal val="0"/>
          <c:showCatName val="0"/>
          <c:showSerName val="0"/>
          <c:showPercent val="0"/>
          <c:showBubbleSize val="0"/>
        </c:dLbls>
        <c:gapWidth val="150"/>
        <c:axId val="759695368"/>
        <c:axId val="758634776"/>
      </c:barChart>
      <c:catAx>
        <c:axId val="759695368"/>
        <c:scaling>
          <c:orientation val="minMax"/>
        </c:scaling>
        <c:delete val="0"/>
        <c:axPos val="b"/>
        <c:majorTickMark val="out"/>
        <c:minorTickMark val="none"/>
        <c:tickLblPos val="nextTo"/>
        <c:crossAx val="758634776"/>
        <c:crosses val="autoZero"/>
        <c:auto val="1"/>
        <c:lblAlgn val="ctr"/>
        <c:lblOffset val="100"/>
        <c:noMultiLvlLbl val="0"/>
      </c:catAx>
      <c:valAx>
        <c:axId val="758634776"/>
        <c:scaling>
          <c:orientation val="minMax"/>
        </c:scaling>
        <c:delete val="0"/>
        <c:axPos val="l"/>
        <c:majorGridlines/>
        <c:numFmt formatCode="0.0" sourceLinked="0"/>
        <c:majorTickMark val="out"/>
        <c:minorTickMark val="none"/>
        <c:tickLblPos val="nextTo"/>
        <c:crossAx val="759695368"/>
        <c:crosses val="autoZero"/>
        <c:crossBetween val="between"/>
      </c:valAx>
    </c:plotArea>
    <c:legend>
      <c:legendPos val="b"/>
      <c:overlay val="0"/>
    </c:legend>
    <c:plotVisOnly val="1"/>
    <c:dispBlanksAs val="gap"/>
    <c:showDLblsOverMax val="0"/>
  </c:chart>
  <c:printSettings>
    <c:headerFooter/>
    <c:pageMargins b="0.750000000000003" l="0.700000000000001" r="0.700000000000001" t="0.750000000000003" header="0.3" footer="0.3"/>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0946555642206069"/>
          <c:y val="0.0725862715436435"/>
          <c:w val="0.821309154537502"/>
          <c:h val="0.674637653051991"/>
        </c:manualLayout>
      </c:layout>
      <c:barChart>
        <c:barDir val="col"/>
        <c:grouping val="clustered"/>
        <c:varyColors val="0"/>
        <c:ser>
          <c:idx val="0"/>
          <c:order val="0"/>
          <c:tx>
            <c:v>ACH50</c:v>
          </c:tx>
          <c:invertIfNegative val="0"/>
          <c:cat>
            <c:strRef>
              <c:f>('Ext Insul'!$D$9:$D$19,'Ext Insul'!$D$21)</c:f>
              <c:strCache>
                <c:ptCount val="12"/>
                <c:pt idx="0">
                  <c:v>Gloucester</c:v>
                </c:pt>
                <c:pt idx="1">
                  <c:v>Belmont</c:v>
                </c:pt>
                <c:pt idx="2">
                  <c:v>Northampton</c:v>
                </c:pt>
                <c:pt idx="3">
                  <c:v>Quincy</c:v>
                </c:pt>
                <c:pt idx="4">
                  <c:v>Millbury</c:v>
                </c:pt>
                <c:pt idx="5">
                  <c:v>Newton</c:v>
                </c:pt>
                <c:pt idx="6">
                  <c:v>Westford</c:v>
                </c:pt>
                <c:pt idx="7">
                  <c:v>Lancaster</c:v>
                </c:pt>
                <c:pt idx="8">
                  <c:v>Milton</c:v>
                </c:pt>
                <c:pt idx="9">
                  <c:v>Brookline</c:v>
                </c:pt>
                <c:pt idx="10">
                  <c:v>Jamaica Plain</c:v>
                </c:pt>
                <c:pt idx="11">
                  <c:v>Belchertown</c:v>
                </c:pt>
              </c:strCache>
            </c:strRef>
          </c:cat>
          <c:val>
            <c:numRef>
              <c:f>('Ext Insul'!$W$9:$W$19,'Ext Insul'!$W$21)</c:f>
              <c:numCache>
                <c:formatCode>0.00</c:formatCode>
                <c:ptCount val="12"/>
                <c:pt idx="0">
                  <c:v>0.605540047240713</c:v>
                </c:pt>
                <c:pt idx="1">
                  <c:v>0.74204502578292</c:v>
                </c:pt>
                <c:pt idx="2">
                  <c:v>0.819662661737523</c:v>
                </c:pt>
                <c:pt idx="3">
                  <c:v>1.2579100863919</c:v>
                </c:pt>
                <c:pt idx="4">
                  <c:v>1.418823529411765</c:v>
                </c:pt>
                <c:pt idx="5">
                  <c:v>3.558254200146092</c:v>
                </c:pt>
                <c:pt idx="6">
                  <c:v>1.254637436762226</c:v>
                </c:pt>
                <c:pt idx="7">
                  <c:v>1.425097276264591</c:v>
                </c:pt>
                <c:pt idx="8">
                  <c:v>1.432683501242967</c:v>
                </c:pt>
                <c:pt idx="9">
                  <c:v>1.500744644289151</c:v>
                </c:pt>
                <c:pt idx="10">
                  <c:v>2.538862536983985</c:v>
                </c:pt>
                <c:pt idx="11">
                  <c:v>1.875500935078814</c:v>
                </c:pt>
              </c:numCache>
            </c:numRef>
          </c:val>
        </c:ser>
        <c:dLbls>
          <c:showLegendKey val="0"/>
          <c:showVal val="0"/>
          <c:showCatName val="0"/>
          <c:showSerName val="0"/>
          <c:showPercent val="0"/>
          <c:showBubbleSize val="0"/>
        </c:dLbls>
        <c:gapWidth val="150"/>
        <c:axId val="760537928"/>
        <c:axId val="779990136"/>
      </c:barChart>
      <c:catAx>
        <c:axId val="760537928"/>
        <c:scaling>
          <c:orientation val="minMax"/>
        </c:scaling>
        <c:delete val="0"/>
        <c:axPos val="b"/>
        <c:majorTickMark val="out"/>
        <c:minorTickMark val="none"/>
        <c:tickLblPos val="nextTo"/>
        <c:crossAx val="779990136"/>
        <c:crosses val="autoZero"/>
        <c:auto val="1"/>
        <c:lblAlgn val="ctr"/>
        <c:lblOffset val="100"/>
        <c:noMultiLvlLbl val="0"/>
      </c:catAx>
      <c:valAx>
        <c:axId val="779990136"/>
        <c:scaling>
          <c:orientation val="minMax"/>
        </c:scaling>
        <c:delete val="0"/>
        <c:axPos val="l"/>
        <c:majorGridlines/>
        <c:numFmt formatCode="0.0" sourceLinked="0"/>
        <c:majorTickMark val="out"/>
        <c:minorTickMark val="none"/>
        <c:tickLblPos val="nextTo"/>
        <c:crossAx val="760537928"/>
        <c:crosses val="autoZero"/>
        <c:crossBetween val="between"/>
      </c:valAx>
    </c:plotArea>
    <c:legend>
      <c:legendPos val="b"/>
      <c:overlay val="0"/>
    </c:legend>
    <c:plotVisOnly val="1"/>
    <c:dispBlanksAs val="gap"/>
    <c:showDLblsOverMax val="0"/>
  </c:chart>
  <c:printSettings>
    <c:headerFooter/>
    <c:pageMargins b="0.750000000000004" l="0.700000000000001" r="0.700000000000001" t="0.750000000000004" header="0.3" footer="0.3"/>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094655564220607"/>
          <c:y val="0.0725862715436435"/>
          <c:w val="0.821309154537502"/>
          <c:h val="0.674637653051991"/>
        </c:manualLayout>
      </c:layout>
      <c:barChart>
        <c:barDir val="col"/>
        <c:grouping val="clustered"/>
        <c:varyColors val="0"/>
        <c:ser>
          <c:idx val="0"/>
          <c:order val="0"/>
          <c:tx>
            <c:v>ACH50</c:v>
          </c:tx>
          <c:invertIfNegative val="0"/>
          <c:cat>
            <c:strRef>
              <c:f>'Ext Insul'!$D$9:$D$21</c:f>
              <c:strCache>
                <c:ptCount val="13"/>
                <c:pt idx="0">
                  <c:v>Gloucester</c:v>
                </c:pt>
                <c:pt idx="1">
                  <c:v>Belmont</c:v>
                </c:pt>
                <c:pt idx="2">
                  <c:v>Northampton</c:v>
                </c:pt>
                <c:pt idx="3">
                  <c:v>Quincy</c:v>
                </c:pt>
                <c:pt idx="4">
                  <c:v>Millbury</c:v>
                </c:pt>
                <c:pt idx="5">
                  <c:v>Newton</c:v>
                </c:pt>
                <c:pt idx="6">
                  <c:v>Westford</c:v>
                </c:pt>
                <c:pt idx="7">
                  <c:v>Lancaster</c:v>
                </c:pt>
                <c:pt idx="8">
                  <c:v>Milton</c:v>
                </c:pt>
                <c:pt idx="9">
                  <c:v>Brookline</c:v>
                </c:pt>
                <c:pt idx="10">
                  <c:v>Jamaica Plain</c:v>
                </c:pt>
                <c:pt idx="11">
                  <c:v>Arlington</c:v>
                </c:pt>
                <c:pt idx="12">
                  <c:v>Belchertown</c:v>
                </c:pt>
              </c:strCache>
            </c:strRef>
          </c:cat>
          <c:val>
            <c:numRef>
              <c:f>'Ext Insul'!$W$9:$W$21</c:f>
              <c:numCache>
                <c:formatCode>0.00</c:formatCode>
                <c:ptCount val="13"/>
                <c:pt idx="0">
                  <c:v>0.605540047240713</c:v>
                </c:pt>
                <c:pt idx="1">
                  <c:v>0.74204502578292</c:v>
                </c:pt>
                <c:pt idx="2">
                  <c:v>0.819662661737523</c:v>
                </c:pt>
                <c:pt idx="3">
                  <c:v>1.2579100863919</c:v>
                </c:pt>
                <c:pt idx="4">
                  <c:v>1.418823529411765</c:v>
                </c:pt>
                <c:pt idx="5">
                  <c:v>3.558254200146092</c:v>
                </c:pt>
                <c:pt idx="6">
                  <c:v>1.254637436762226</c:v>
                </c:pt>
                <c:pt idx="7">
                  <c:v>1.425097276264591</c:v>
                </c:pt>
                <c:pt idx="8">
                  <c:v>1.432683501242967</c:v>
                </c:pt>
                <c:pt idx="9">
                  <c:v>1.500744644289151</c:v>
                </c:pt>
                <c:pt idx="10">
                  <c:v>2.538862536983985</c:v>
                </c:pt>
                <c:pt idx="11">
                  <c:v>7.257150566648678</c:v>
                </c:pt>
                <c:pt idx="12">
                  <c:v>1.875500935078814</c:v>
                </c:pt>
              </c:numCache>
            </c:numRef>
          </c:val>
        </c:ser>
        <c:dLbls>
          <c:showLegendKey val="0"/>
          <c:showVal val="0"/>
          <c:showCatName val="0"/>
          <c:showSerName val="0"/>
          <c:showPercent val="0"/>
          <c:showBubbleSize val="0"/>
        </c:dLbls>
        <c:gapWidth val="150"/>
        <c:axId val="755833048"/>
        <c:axId val="755151128"/>
      </c:barChart>
      <c:catAx>
        <c:axId val="755833048"/>
        <c:scaling>
          <c:orientation val="minMax"/>
        </c:scaling>
        <c:delete val="0"/>
        <c:axPos val="b"/>
        <c:majorTickMark val="out"/>
        <c:minorTickMark val="none"/>
        <c:tickLblPos val="nextTo"/>
        <c:crossAx val="755151128"/>
        <c:crosses val="autoZero"/>
        <c:auto val="1"/>
        <c:lblAlgn val="ctr"/>
        <c:lblOffset val="100"/>
        <c:noMultiLvlLbl val="0"/>
      </c:catAx>
      <c:valAx>
        <c:axId val="755151128"/>
        <c:scaling>
          <c:orientation val="minMax"/>
        </c:scaling>
        <c:delete val="0"/>
        <c:axPos val="l"/>
        <c:majorGridlines/>
        <c:numFmt formatCode="0.0" sourceLinked="0"/>
        <c:majorTickMark val="out"/>
        <c:minorTickMark val="none"/>
        <c:tickLblPos val="nextTo"/>
        <c:crossAx val="755833048"/>
        <c:crosses val="autoZero"/>
        <c:crossBetween val="between"/>
      </c:valAx>
    </c:plotArea>
    <c:plotVisOnly val="1"/>
    <c:dispBlanksAs val="gap"/>
    <c:showDLblsOverMax val="0"/>
  </c:chart>
  <c:printSettings>
    <c:headerFooter/>
    <c:pageMargins b="0.750000000000004" l="0.700000000000001" r="0.700000000000001" t="0.750000000000004" header="0.3" footer="0.3"/>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0827864249526948"/>
          <c:y val="0.0966236940970614"/>
          <c:w val="0.860961958068495"/>
          <c:h val="0.647657094333797"/>
        </c:manualLayout>
      </c:layout>
      <c:barChart>
        <c:barDir val="col"/>
        <c:grouping val="stacked"/>
        <c:varyColors val="0"/>
        <c:ser>
          <c:idx val="0"/>
          <c:order val="0"/>
          <c:tx>
            <c:v>ACH50</c:v>
          </c:tx>
          <c:spPr>
            <a:ln>
              <a:solidFill>
                <a:prstClr val="black">
                  <a:lumMod val="85000"/>
                  <a:lumOff val="15000"/>
                </a:prstClr>
              </a:solidFill>
            </a:ln>
          </c:spPr>
          <c:invertIfNegative val="0"/>
          <c:cat>
            <c:strRef>
              <c:f>'Ext Insul'!$D$9:$D$21</c:f>
              <c:strCache>
                <c:ptCount val="13"/>
                <c:pt idx="0">
                  <c:v>Gloucester</c:v>
                </c:pt>
                <c:pt idx="1">
                  <c:v>Belmont</c:v>
                </c:pt>
                <c:pt idx="2">
                  <c:v>Northampton</c:v>
                </c:pt>
                <c:pt idx="3">
                  <c:v>Quincy</c:v>
                </c:pt>
                <c:pt idx="4">
                  <c:v>Millbury</c:v>
                </c:pt>
                <c:pt idx="5">
                  <c:v>Newton</c:v>
                </c:pt>
                <c:pt idx="6">
                  <c:v>Westford</c:v>
                </c:pt>
                <c:pt idx="7">
                  <c:v>Lancaster</c:v>
                </c:pt>
                <c:pt idx="8">
                  <c:v>Milton</c:v>
                </c:pt>
                <c:pt idx="9">
                  <c:v>Brookline</c:v>
                </c:pt>
                <c:pt idx="10">
                  <c:v>Jamaica Plain</c:v>
                </c:pt>
                <c:pt idx="11">
                  <c:v>Arlington</c:v>
                </c:pt>
                <c:pt idx="12">
                  <c:v>Belchertown</c:v>
                </c:pt>
              </c:strCache>
            </c:strRef>
          </c:cat>
          <c:val>
            <c:numRef>
              <c:f>'Ext Insul'!$AF$9:$AF$21</c:f>
              <c:numCache>
                <c:formatCode>0.00</c:formatCode>
                <c:ptCount val="13"/>
                <c:pt idx="0">
                  <c:v>0.605540047240713</c:v>
                </c:pt>
                <c:pt idx="1">
                  <c:v>0.74204502578292</c:v>
                </c:pt>
                <c:pt idx="2">
                  <c:v>0.819662661737523</c:v>
                </c:pt>
                <c:pt idx="3">
                  <c:v>1.2579100863919</c:v>
                </c:pt>
                <c:pt idx="4">
                  <c:v>1.418823529411765</c:v>
                </c:pt>
                <c:pt idx="6">
                  <c:v>1.254637436762226</c:v>
                </c:pt>
                <c:pt idx="7">
                  <c:v>1.425097276264591</c:v>
                </c:pt>
                <c:pt idx="8">
                  <c:v>1.432683501242967</c:v>
                </c:pt>
                <c:pt idx="9">
                  <c:v>1.500744644289151</c:v>
                </c:pt>
                <c:pt idx="12">
                  <c:v>1.875500935078814</c:v>
                </c:pt>
              </c:numCache>
            </c:numRef>
          </c:val>
        </c:ser>
        <c:ser>
          <c:idx val="1"/>
          <c:order val="1"/>
          <c:tx>
            <c:v>Porch/deck not detached</c:v>
          </c:tx>
          <c:spPr>
            <a:ln>
              <a:solidFill>
                <a:prstClr val="black">
                  <a:lumMod val="85000"/>
                  <a:lumOff val="15000"/>
                </a:prstClr>
              </a:solidFill>
            </a:ln>
          </c:spPr>
          <c:invertIfNegative val="0"/>
          <c:cat>
            <c:strRef>
              <c:f>'Ext Insul'!$D$9:$D$21</c:f>
              <c:strCache>
                <c:ptCount val="13"/>
                <c:pt idx="0">
                  <c:v>Gloucester</c:v>
                </c:pt>
                <c:pt idx="1">
                  <c:v>Belmont</c:v>
                </c:pt>
                <c:pt idx="2">
                  <c:v>Northampton</c:v>
                </c:pt>
                <c:pt idx="3">
                  <c:v>Quincy</c:v>
                </c:pt>
                <c:pt idx="4">
                  <c:v>Millbury</c:v>
                </c:pt>
                <c:pt idx="5">
                  <c:v>Newton</c:v>
                </c:pt>
                <c:pt idx="6">
                  <c:v>Westford</c:v>
                </c:pt>
                <c:pt idx="7">
                  <c:v>Lancaster</c:v>
                </c:pt>
                <c:pt idx="8">
                  <c:v>Milton</c:v>
                </c:pt>
                <c:pt idx="9">
                  <c:v>Brookline</c:v>
                </c:pt>
                <c:pt idx="10">
                  <c:v>Jamaica Plain</c:v>
                </c:pt>
                <c:pt idx="11">
                  <c:v>Arlington</c:v>
                </c:pt>
                <c:pt idx="12">
                  <c:v>Belchertown</c:v>
                </c:pt>
              </c:strCache>
            </c:strRef>
          </c:cat>
          <c:val>
            <c:numRef>
              <c:f>'Ext Insul'!$AD$9:$AD$21</c:f>
              <c:numCache>
                <c:formatCode>General</c:formatCode>
                <c:ptCount val="13"/>
                <c:pt idx="5" formatCode="0.00">
                  <c:v>3.558254200146092</c:v>
                </c:pt>
                <c:pt idx="11" formatCode="0.00">
                  <c:v>7.257150566648678</c:v>
                </c:pt>
              </c:numCache>
            </c:numRef>
          </c:val>
        </c:ser>
        <c:ser>
          <c:idx val="2"/>
          <c:order val="2"/>
          <c:tx>
            <c:v>Section of wall not treated</c:v>
          </c:tx>
          <c:spPr>
            <a:ln>
              <a:solidFill>
                <a:prstClr val="black">
                  <a:lumMod val="85000"/>
                  <a:lumOff val="15000"/>
                </a:prstClr>
              </a:solidFill>
            </a:ln>
          </c:spPr>
          <c:invertIfNegative val="0"/>
          <c:cat>
            <c:strRef>
              <c:f>'Ext Insul'!$D$9:$D$21</c:f>
              <c:strCache>
                <c:ptCount val="13"/>
                <c:pt idx="0">
                  <c:v>Gloucester</c:v>
                </c:pt>
                <c:pt idx="1">
                  <c:v>Belmont</c:v>
                </c:pt>
                <c:pt idx="2">
                  <c:v>Northampton</c:v>
                </c:pt>
                <c:pt idx="3">
                  <c:v>Quincy</c:v>
                </c:pt>
                <c:pt idx="4">
                  <c:v>Millbury</c:v>
                </c:pt>
                <c:pt idx="5">
                  <c:v>Newton</c:v>
                </c:pt>
                <c:pt idx="6">
                  <c:v>Westford</c:v>
                </c:pt>
                <c:pt idx="7">
                  <c:v>Lancaster</c:v>
                </c:pt>
                <c:pt idx="8">
                  <c:v>Milton</c:v>
                </c:pt>
                <c:pt idx="9">
                  <c:v>Brookline</c:v>
                </c:pt>
                <c:pt idx="10">
                  <c:v>Jamaica Plain</c:v>
                </c:pt>
                <c:pt idx="11">
                  <c:v>Arlington</c:v>
                </c:pt>
                <c:pt idx="12">
                  <c:v>Belchertown</c:v>
                </c:pt>
              </c:strCache>
            </c:strRef>
          </c:cat>
          <c:val>
            <c:numRef>
              <c:f>'Ext Insul'!$AE$9:$AE$21</c:f>
              <c:numCache>
                <c:formatCode>General</c:formatCode>
                <c:ptCount val="13"/>
                <c:pt idx="10" formatCode="0.00">
                  <c:v>2.538862536983985</c:v>
                </c:pt>
              </c:numCache>
            </c:numRef>
          </c:val>
        </c:ser>
        <c:dLbls>
          <c:showLegendKey val="0"/>
          <c:showVal val="0"/>
          <c:showCatName val="0"/>
          <c:showSerName val="0"/>
          <c:showPercent val="0"/>
          <c:showBubbleSize val="0"/>
        </c:dLbls>
        <c:gapWidth val="150"/>
        <c:overlap val="100"/>
        <c:axId val="759919896"/>
        <c:axId val="759883192"/>
      </c:barChart>
      <c:catAx>
        <c:axId val="759919896"/>
        <c:scaling>
          <c:orientation val="minMax"/>
        </c:scaling>
        <c:delete val="0"/>
        <c:axPos val="b"/>
        <c:majorTickMark val="out"/>
        <c:minorTickMark val="none"/>
        <c:tickLblPos val="nextTo"/>
        <c:txPr>
          <a:bodyPr/>
          <a:lstStyle/>
          <a:p>
            <a:pPr>
              <a:defRPr b="0" i="0" baseline="0"/>
            </a:pPr>
            <a:endParaRPr lang="en-US"/>
          </a:p>
        </c:txPr>
        <c:crossAx val="759883192"/>
        <c:crosses val="autoZero"/>
        <c:auto val="1"/>
        <c:lblAlgn val="ctr"/>
        <c:lblOffset val="100"/>
        <c:noMultiLvlLbl val="0"/>
      </c:catAx>
      <c:valAx>
        <c:axId val="759883192"/>
        <c:scaling>
          <c:orientation val="minMax"/>
        </c:scaling>
        <c:delete val="0"/>
        <c:axPos val="l"/>
        <c:majorGridlines/>
        <c:numFmt formatCode="0.0" sourceLinked="0"/>
        <c:majorTickMark val="out"/>
        <c:minorTickMark val="none"/>
        <c:tickLblPos val="nextTo"/>
        <c:txPr>
          <a:bodyPr/>
          <a:lstStyle/>
          <a:p>
            <a:pPr>
              <a:defRPr b="0" i="0" baseline="0"/>
            </a:pPr>
            <a:endParaRPr lang="en-US"/>
          </a:p>
        </c:txPr>
        <c:crossAx val="759919896"/>
        <c:crosses val="autoZero"/>
        <c:crossBetween val="between"/>
      </c:valAx>
    </c:plotArea>
    <c:legend>
      <c:legendPos val="b"/>
      <c:legendEntry>
        <c:idx val="0"/>
        <c:delete val="1"/>
      </c:legendEntry>
      <c:overlay val="0"/>
    </c:legend>
    <c:plotVisOnly val="1"/>
    <c:dispBlanksAs val="gap"/>
    <c:showDLblsOverMax val="0"/>
  </c:chart>
  <c:txPr>
    <a:bodyPr/>
    <a:lstStyle/>
    <a:p>
      <a:pPr>
        <a:defRPr b="1"/>
      </a:pPr>
      <a:endParaRPr lang="en-US"/>
    </a:p>
  </c:txPr>
  <c:printSettings>
    <c:headerFooter/>
    <c:pageMargins b="0.75" l="0.7" r="0.7" t="0.75" header="0.3" footer="0.3"/>
    <c:pageSetup/>
  </c:printSettings>
  <c:userShapes r:id="rId1"/>
</c:chartSpace>
</file>

<file path=xl/charts/chart1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4623783049483"/>
          <c:y val="0.0790724435307656"/>
          <c:w val="0.797698841957854"/>
          <c:h val="0.661855371526837"/>
        </c:manualLayout>
      </c:layout>
      <c:barChart>
        <c:barDir val="col"/>
        <c:grouping val="clustered"/>
        <c:varyColors val="0"/>
        <c:ser>
          <c:idx val="0"/>
          <c:order val="0"/>
          <c:tx>
            <c:v>ACH50</c:v>
          </c:tx>
          <c:invertIfNegative val="0"/>
          <c:cat>
            <c:strRef>
              <c:f>'Spray Foam Use '!$D$9:$D$21</c:f>
              <c:strCache>
                <c:ptCount val="13"/>
                <c:pt idx="0">
                  <c:v>Quincy</c:v>
                </c:pt>
                <c:pt idx="1">
                  <c:v>Lancaster</c:v>
                </c:pt>
                <c:pt idx="2">
                  <c:v>Belchertown</c:v>
                </c:pt>
                <c:pt idx="3">
                  <c:v>Westford</c:v>
                </c:pt>
                <c:pt idx="4">
                  <c:v>Millbury</c:v>
                </c:pt>
                <c:pt idx="5">
                  <c:v>Milton</c:v>
                </c:pt>
                <c:pt idx="6">
                  <c:v>Brookline</c:v>
                </c:pt>
                <c:pt idx="7">
                  <c:v>Jamaica Plain</c:v>
                </c:pt>
                <c:pt idx="8">
                  <c:v>Newton</c:v>
                </c:pt>
                <c:pt idx="9">
                  <c:v>Arlington</c:v>
                </c:pt>
                <c:pt idx="10">
                  <c:v>Gloucester</c:v>
                </c:pt>
                <c:pt idx="11">
                  <c:v>Belmont</c:v>
                </c:pt>
                <c:pt idx="12">
                  <c:v>Northampton</c:v>
                </c:pt>
              </c:strCache>
            </c:strRef>
          </c:cat>
          <c:val>
            <c:numRef>
              <c:f>'Spray Foam Use '!$W$9:$W$21</c:f>
              <c:numCache>
                <c:formatCode>0.00</c:formatCode>
                <c:ptCount val="13"/>
                <c:pt idx="0">
                  <c:v>1.2579100863919</c:v>
                </c:pt>
                <c:pt idx="1">
                  <c:v>1.425097276264591</c:v>
                </c:pt>
                <c:pt idx="2">
                  <c:v>1.875500935078814</c:v>
                </c:pt>
                <c:pt idx="3">
                  <c:v>1.254637436762226</c:v>
                </c:pt>
                <c:pt idx="4">
                  <c:v>1.418823529411765</c:v>
                </c:pt>
                <c:pt idx="5">
                  <c:v>1.432683501242967</c:v>
                </c:pt>
                <c:pt idx="6">
                  <c:v>1.500744644289151</c:v>
                </c:pt>
                <c:pt idx="7">
                  <c:v>2.538862536983985</c:v>
                </c:pt>
                <c:pt idx="8">
                  <c:v>3.558254200146092</c:v>
                </c:pt>
                <c:pt idx="9">
                  <c:v>7.257150566648678</c:v>
                </c:pt>
                <c:pt idx="10">
                  <c:v>0.605540047240713</c:v>
                </c:pt>
                <c:pt idx="11">
                  <c:v>0.74204502578292</c:v>
                </c:pt>
                <c:pt idx="12">
                  <c:v>0.819662661737523</c:v>
                </c:pt>
              </c:numCache>
            </c:numRef>
          </c:val>
        </c:ser>
        <c:dLbls>
          <c:showLegendKey val="0"/>
          <c:showVal val="0"/>
          <c:showCatName val="0"/>
          <c:showSerName val="0"/>
          <c:showPercent val="0"/>
          <c:showBubbleSize val="0"/>
        </c:dLbls>
        <c:gapWidth val="150"/>
        <c:axId val="756969512"/>
        <c:axId val="756979320"/>
      </c:barChart>
      <c:catAx>
        <c:axId val="756969512"/>
        <c:scaling>
          <c:orientation val="minMax"/>
        </c:scaling>
        <c:delete val="0"/>
        <c:axPos val="b"/>
        <c:majorTickMark val="out"/>
        <c:minorTickMark val="none"/>
        <c:tickLblPos val="nextTo"/>
        <c:crossAx val="756979320"/>
        <c:crosses val="autoZero"/>
        <c:auto val="1"/>
        <c:lblAlgn val="ctr"/>
        <c:lblOffset val="100"/>
        <c:noMultiLvlLbl val="0"/>
      </c:catAx>
      <c:valAx>
        <c:axId val="756979320"/>
        <c:scaling>
          <c:orientation val="minMax"/>
        </c:scaling>
        <c:delete val="0"/>
        <c:axPos val="l"/>
        <c:majorGridlines/>
        <c:numFmt formatCode="0.0" sourceLinked="0"/>
        <c:majorTickMark val="out"/>
        <c:minorTickMark val="none"/>
        <c:tickLblPos val="nextTo"/>
        <c:crossAx val="756969512"/>
        <c:crosses val="autoZero"/>
        <c:crossBetween val="between"/>
      </c:valAx>
    </c:plotArea>
    <c:legend>
      <c:legendPos val="b"/>
      <c:overlay val="0"/>
    </c:legend>
    <c:plotVisOnly val="1"/>
    <c:dispBlanksAs val="gap"/>
    <c:showDLblsOverMax val="0"/>
  </c:chart>
  <c:printSettings>
    <c:headerFooter/>
    <c:pageMargins b="0.750000000000004" l="0.700000000000001" r="0.700000000000001" t="0.750000000000004" header="0.3" footer="0.3"/>
    <c:pageSetup/>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4623783049483"/>
          <c:y val="0.0790724435307656"/>
          <c:w val="0.797698841957854"/>
          <c:h val="0.661855371526837"/>
        </c:manualLayout>
      </c:layout>
      <c:barChart>
        <c:barDir val="col"/>
        <c:grouping val="stacked"/>
        <c:varyColors val="0"/>
        <c:ser>
          <c:idx val="0"/>
          <c:order val="0"/>
          <c:tx>
            <c:v>SPF not used for air control</c:v>
          </c:tx>
          <c:spPr>
            <a:ln>
              <a:solidFill>
                <a:prstClr val="black">
                  <a:lumMod val="85000"/>
                  <a:lumOff val="15000"/>
                </a:prstClr>
              </a:solidFill>
            </a:ln>
          </c:spPr>
          <c:invertIfNegative val="0"/>
          <c:cat>
            <c:strRef>
              <c:f>'Spray Foam Use '!$D$9:$D$21</c:f>
              <c:strCache>
                <c:ptCount val="13"/>
                <c:pt idx="0">
                  <c:v>Quincy</c:v>
                </c:pt>
                <c:pt idx="1">
                  <c:v>Lancaster</c:v>
                </c:pt>
                <c:pt idx="2">
                  <c:v>Belchertown</c:v>
                </c:pt>
                <c:pt idx="3">
                  <c:v>Westford</c:v>
                </c:pt>
                <c:pt idx="4">
                  <c:v>Millbury</c:v>
                </c:pt>
                <c:pt idx="5">
                  <c:v>Milton</c:v>
                </c:pt>
                <c:pt idx="6">
                  <c:v>Brookline</c:v>
                </c:pt>
                <c:pt idx="7">
                  <c:v>Jamaica Plain</c:v>
                </c:pt>
                <c:pt idx="8">
                  <c:v>Newton</c:v>
                </c:pt>
                <c:pt idx="9">
                  <c:v>Arlington</c:v>
                </c:pt>
                <c:pt idx="10">
                  <c:v>Gloucester</c:v>
                </c:pt>
                <c:pt idx="11">
                  <c:v>Belmont</c:v>
                </c:pt>
                <c:pt idx="12">
                  <c:v>Northampton</c:v>
                </c:pt>
              </c:strCache>
            </c:strRef>
          </c:cat>
          <c:val>
            <c:numRef>
              <c:f>'Spray Foam Use '!$AH$9:$AH$21</c:f>
              <c:numCache>
                <c:formatCode>General</c:formatCode>
                <c:ptCount val="13"/>
                <c:pt idx="0" formatCode="0.00">
                  <c:v>1.2579100863919</c:v>
                </c:pt>
                <c:pt idx="1">
                  <c:v>0.0</c:v>
                </c:pt>
                <c:pt idx="2">
                  <c:v>0.0</c:v>
                </c:pt>
                <c:pt idx="3">
                  <c:v>0.0</c:v>
                </c:pt>
                <c:pt idx="4" formatCode="0.00">
                  <c:v>1.418823529411765</c:v>
                </c:pt>
                <c:pt idx="5">
                  <c:v>0.0</c:v>
                </c:pt>
                <c:pt idx="6">
                  <c:v>0.0</c:v>
                </c:pt>
                <c:pt idx="7" formatCode="0.00">
                  <c:v>0.0</c:v>
                </c:pt>
                <c:pt idx="8" formatCode="0.00">
                  <c:v>3.558254200146092</c:v>
                </c:pt>
                <c:pt idx="9">
                  <c:v>0.0</c:v>
                </c:pt>
              </c:numCache>
            </c:numRef>
          </c:val>
        </c:ser>
        <c:ser>
          <c:idx val="2"/>
          <c:order val="1"/>
          <c:tx>
            <c:v>SPF used for roof air control</c:v>
          </c:tx>
          <c:spPr>
            <a:ln>
              <a:solidFill>
                <a:prstClr val="black">
                  <a:lumMod val="85000"/>
                  <a:lumOff val="15000"/>
                </a:prstClr>
              </a:solidFill>
            </a:ln>
          </c:spPr>
          <c:invertIfNegative val="0"/>
          <c:cat>
            <c:strRef>
              <c:f>'Spray Foam Use '!$D$9:$D$21</c:f>
              <c:strCache>
                <c:ptCount val="13"/>
                <c:pt idx="0">
                  <c:v>Quincy</c:v>
                </c:pt>
                <c:pt idx="1">
                  <c:v>Lancaster</c:v>
                </c:pt>
                <c:pt idx="2">
                  <c:v>Belchertown</c:v>
                </c:pt>
                <c:pt idx="3">
                  <c:v>Westford</c:v>
                </c:pt>
                <c:pt idx="4">
                  <c:v>Millbury</c:v>
                </c:pt>
                <c:pt idx="5">
                  <c:v>Milton</c:v>
                </c:pt>
                <c:pt idx="6">
                  <c:v>Brookline</c:v>
                </c:pt>
                <c:pt idx="7">
                  <c:v>Jamaica Plain</c:v>
                </c:pt>
                <c:pt idx="8">
                  <c:v>Newton</c:v>
                </c:pt>
                <c:pt idx="9">
                  <c:v>Arlington</c:v>
                </c:pt>
                <c:pt idx="10">
                  <c:v>Gloucester</c:v>
                </c:pt>
                <c:pt idx="11">
                  <c:v>Belmont</c:v>
                </c:pt>
                <c:pt idx="12">
                  <c:v>Northampton</c:v>
                </c:pt>
              </c:strCache>
            </c:strRef>
          </c:cat>
          <c:val>
            <c:numRef>
              <c:f>'Spray Foam Use '!$AE$9:$AE$21</c:f>
              <c:numCache>
                <c:formatCode>General</c:formatCode>
                <c:ptCount val="13"/>
                <c:pt idx="0">
                  <c:v>0.0</c:v>
                </c:pt>
                <c:pt idx="1">
                  <c:v>0.0</c:v>
                </c:pt>
                <c:pt idx="2">
                  <c:v>0.0</c:v>
                </c:pt>
                <c:pt idx="3" formatCode="0.00">
                  <c:v>1.254637436762226</c:v>
                </c:pt>
                <c:pt idx="4">
                  <c:v>0.0</c:v>
                </c:pt>
                <c:pt idx="5" formatCode="0.00">
                  <c:v>1.432683501242967</c:v>
                </c:pt>
                <c:pt idx="6" formatCode="0.00">
                  <c:v>1.500744644289151</c:v>
                </c:pt>
                <c:pt idx="7">
                  <c:v>0.0</c:v>
                </c:pt>
                <c:pt idx="8">
                  <c:v>0.0</c:v>
                </c:pt>
                <c:pt idx="9" formatCode="0.00">
                  <c:v>7.257150566648678</c:v>
                </c:pt>
                <c:pt idx="10">
                  <c:v>0.0</c:v>
                </c:pt>
                <c:pt idx="11">
                  <c:v>0.0</c:v>
                </c:pt>
                <c:pt idx="12">
                  <c:v>0.0</c:v>
                </c:pt>
              </c:numCache>
            </c:numRef>
          </c:val>
        </c:ser>
        <c:ser>
          <c:idx val="4"/>
          <c:order val="2"/>
          <c:tx>
            <c:v>No SPF used</c:v>
          </c:tx>
          <c:spPr>
            <a:ln>
              <a:solidFill>
                <a:prstClr val="black">
                  <a:lumMod val="85000"/>
                  <a:lumOff val="15000"/>
                </a:prstClr>
              </a:solidFill>
            </a:ln>
          </c:spPr>
          <c:invertIfNegative val="0"/>
          <c:val>
            <c:numRef>
              <c:f>'Spray Foam Use '!$AI$9:$AI$21</c:f>
              <c:numCache>
                <c:formatCode>General</c:formatCode>
                <c:ptCount val="13"/>
                <c:pt idx="10" formatCode="0.00">
                  <c:v>0.605232067510548</c:v>
                </c:pt>
                <c:pt idx="11" formatCode="0.00">
                  <c:v>0.74204502578292</c:v>
                </c:pt>
                <c:pt idx="12" formatCode="0.00">
                  <c:v>0.819662661737523</c:v>
                </c:pt>
              </c:numCache>
            </c:numRef>
          </c:val>
        </c:ser>
        <c:ser>
          <c:idx val="1"/>
          <c:order val="3"/>
          <c:tx>
            <c:v>SPF used for wall &amp; roof air control</c:v>
          </c:tx>
          <c:spPr>
            <a:ln>
              <a:solidFill>
                <a:prstClr val="black">
                  <a:lumMod val="85000"/>
                  <a:lumOff val="15000"/>
                </a:prstClr>
              </a:solidFill>
            </a:ln>
          </c:spPr>
          <c:invertIfNegative val="0"/>
          <c:val>
            <c:numRef>
              <c:f>'Spray Foam Use '!$AD$9:$AD$21</c:f>
              <c:numCache>
                <c:formatCode>General</c:formatCode>
                <c:ptCount val="13"/>
                <c:pt idx="0">
                  <c:v>0.0</c:v>
                </c:pt>
                <c:pt idx="1">
                  <c:v>0.0</c:v>
                </c:pt>
                <c:pt idx="2" formatCode="0.00">
                  <c:v>1.875500935078814</c:v>
                </c:pt>
                <c:pt idx="3">
                  <c:v>0.0</c:v>
                </c:pt>
                <c:pt idx="4">
                  <c:v>0.0</c:v>
                </c:pt>
                <c:pt idx="5">
                  <c:v>0.0</c:v>
                </c:pt>
                <c:pt idx="6">
                  <c:v>0.0</c:v>
                </c:pt>
                <c:pt idx="7">
                  <c:v>0.0</c:v>
                </c:pt>
                <c:pt idx="8">
                  <c:v>0.0</c:v>
                </c:pt>
                <c:pt idx="9">
                  <c:v>0.0</c:v>
                </c:pt>
                <c:pt idx="10">
                  <c:v>0.0</c:v>
                </c:pt>
                <c:pt idx="11">
                  <c:v>0.0</c:v>
                </c:pt>
                <c:pt idx="12">
                  <c:v>0.0</c:v>
                </c:pt>
              </c:numCache>
            </c:numRef>
          </c:val>
        </c:ser>
        <c:ser>
          <c:idx val="3"/>
          <c:order val="4"/>
          <c:tx>
            <c:v>SPF used for attic air control</c:v>
          </c:tx>
          <c:spPr>
            <a:solidFill>
              <a:srgbClr val="FFFF00"/>
            </a:solidFill>
            <a:ln>
              <a:solidFill>
                <a:schemeClr val="tx1">
                  <a:lumMod val="85000"/>
                  <a:lumOff val="15000"/>
                </a:schemeClr>
              </a:solidFill>
            </a:ln>
          </c:spPr>
          <c:invertIfNegative val="0"/>
          <c:val>
            <c:numRef>
              <c:f>'Spray Foam Use '!$AF$9:$AF$21</c:f>
              <c:numCache>
                <c:formatCode>0.00</c:formatCode>
                <c:ptCount val="13"/>
                <c:pt idx="0" formatCode="General">
                  <c:v>0.0</c:v>
                </c:pt>
                <c:pt idx="1">
                  <c:v>1.425097276264591</c:v>
                </c:pt>
                <c:pt idx="2" formatCode="General">
                  <c:v>0.0</c:v>
                </c:pt>
                <c:pt idx="3" formatCode="General">
                  <c:v>0.0</c:v>
                </c:pt>
                <c:pt idx="4" formatCode="General">
                  <c:v>0.0</c:v>
                </c:pt>
                <c:pt idx="5" formatCode="General">
                  <c:v>0.0</c:v>
                </c:pt>
                <c:pt idx="6" formatCode="General">
                  <c:v>0.0</c:v>
                </c:pt>
                <c:pt idx="7">
                  <c:v>2.538862536983985</c:v>
                </c:pt>
                <c:pt idx="8" formatCode="General">
                  <c:v>0.0</c:v>
                </c:pt>
                <c:pt idx="9" formatCode="General">
                  <c:v>0.0</c:v>
                </c:pt>
                <c:pt idx="10" formatCode="General">
                  <c:v>0.0</c:v>
                </c:pt>
                <c:pt idx="11" formatCode="General">
                  <c:v>0.0</c:v>
                </c:pt>
                <c:pt idx="12" formatCode="General">
                  <c:v>0.0</c:v>
                </c:pt>
              </c:numCache>
            </c:numRef>
          </c:val>
        </c:ser>
        <c:dLbls>
          <c:showLegendKey val="0"/>
          <c:showVal val="0"/>
          <c:showCatName val="0"/>
          <c:showSerName val="0"/>
          <c:showPercent val="0"/>
          <c:showBubbleSize val="0"/>
        </c:dLbls>
        <c:gapWidth val="150"/>
        <c:overlap val="100"/>
        <c:axId val="648317432"/>
        <c:axId val="756138600"/>
      </c:barChart>
      <c:catAx>
        <c:axId val="648317432"/>
        <c:scaling>
          <c:orientation val="minMax"/>
        </c:scaling>
        <c:delete val="0"/>
        <c:axPos val="b"/>
        <c:majorTickMark val="out"/>
        <c:minorTickMark val="none"/>
        <c:tickLblPos val="nextTo"/>
        <c:crossAx val="756138600"/>
        <c:crosses val="autoZero"/>
        <c:auto val="1"/>
        <c:lblAlgn val="ctr"/>
        <c:lblOffset val="100"/>
        <c:noMultiLvlLbl val="0"/>
      </c:catAx>
      <c:valAx>
        <c:axId val="756138600"/>
        <c:scaling>
          <c:orientation val="minMax"/>
        </c:scaling>
        <c:delete val="0"/>
        <c:axPos val="l"/>
        <c:majorGridlines/>
        <c:numFmt formatCode="0.0" sourceLinked="0"/>
        <c:majorTickMark val="out"/>
        <c:minorTickMark val="none"/>
        <c:tickLblPos val="nextTo"/>
        <c:crossAx val="648317432"/>
        <c:crosses val="autoZero"/>
        <c:crossBetween val="between"/>
      </c:valAx>
    </c:plotArea>
    <c:legend>
      <c:legendPos val="b"/>
      <c:layout>
        <c:manualLayout>
          <c:xMode val="edge"/>
          <c:yMode val="edge"/>
          <c:x val="0.0377432852842277"/>
          <c:y val="0.896007185994954"/>
          <c:w val="0.893320575045249"/>
          <c:h val="0.103992814005045"/>
        </c:manualLayout>
      </c:layout>
      <c:overlay val="0"/>
    </c:legend>
    <c:plotVisOnly val="1"/>
    <c:dispBlanksAs val="gap"/>
    <c:showDLblsOverMax val="0"/>
  </c:chart>
  <c:printSettings>
    <c:headerFooter/>
    <c:pageMargins b="0.750000000000005" l="0.700000000000001" r="0.700000000000001" t="0.750000000000005" header="0.3" footer="0.3"/>
    <c:pageSetup/>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3324528523392"/>
          <c:y val="0.0922907050411802"/>
          <c:w val="0.873246291497908"/>
          <c:h val="0.668069508552811"/>
        </c:manualLayout>
      </c:layout>
      <c:barChart>
        <c:barDir val="col"/>
        <c:grouping val="clustered"/>
        <c:varyColors val="0"/>
        <c:ser>
          <c:idx val="0"/>
          <c:order val="0"/>
          <c:tx>
            <c:v>ACH50</c:v>
          </c:tx>
          <c:invertIfNegative val="0"/>
          <c:cat>
            <c:strRef>
              <c:f>'Spray Foam Air Barrier'!$D$9:$D$21</c:f>
              <c:strCache>
                <c:ptCount val="13"/>
                <c:pt idx="0">
                  <c:v>Westford</c:v>
                </c:pt>
                <c:pt idx="1">
                  <c:v>Lancaster</c:v>
                </c:pt>
                <c:pt idx="2">
                  <c:v>Milton</c:v>
                </c:pt>
                <c:pt idx="3">
                  <c:v>Brookline</c:v>
                </c:pt>
                <c:pt idx="4">
                  <c:v>Belchertown</c:v>
                </c:pt>
                <c:pt idx="5">
                  <c:v>Jamaica Plain</c:v>
                </c:pt>
                <c:pt idx="6">
                  <c:v>Arlington</c:v>
                </c:pt>
                <c:pt idx="7">
                  <c:v>Gloucester</c:v>
                </c:pt>
                <c:pt idx="8">
                  <c:v>Belmont</c:v>
                </c:pt>
                <c:pt idx="9">
                  <c:v>Northampton</c:v>
                </c:pt>
                <c:pt idx="10">
                  <c:v>Quincy</c:v>
                </c:pt>
                <c:pt idx="11">
                  <c:v>Millbury</c:v>
                </c:pt>
                <c:pt idx="12">
                  <c:v>Newton</c:v>
                </c:pt>
              </c:strCache>
            </c:strRef>
          </c:cat>
          <c:val>
            <c:numRef>
              <c:f>'Spray Foam Air Barrier'!$W$9:$W$21</c:f>
              <c:numCache>
                <c:formatCode>0.00</c:formatCode>
                <c:ptCount val="13"/>
                <c:pt idx="0">
                  <c:v>1.254637436762226</c:v>
                </c:pt>
                <c:pt idx="1">
                  <c:v>1.425097276264591</c:v>
                </c:pt>
                <c:pt idx="2">
                  <c:v>1.432683501242967</c:v>
                </c:pt>
                <c:pt idx="3">
                  <c:v>1.500744644289151</c:v>
                </c:pt>
                <c:pt idx="4">
                  <c:v>1.875500935078814</c:v>
                </c:pt>
                <c:pt idx="5">
                  <c:v>2.538862536983985</c:v>
                </c:pt>
                <c:pt idx="6">
                  <c:v>7.257150566648678</c:v>
                </c:pt>
                <c:pt idx="7">
                  <c:v>0.605540047240713</c:v>
                </c:pt>
                <c:pt idx="8">
                  <c:v>0.74204502578292</c:v>
                </c:pt>
                <c:pt idx="9">
                  <c:v>0.819662661737523</c:v>
                </c:pt>
                <c:pt idx="10">
                  <c:v>1.2579100863919</c:v>
                </c:pt>
                <c:pt idx="11">
                  <c:v>1.418823529411765</c:v>
                </c:pt>
                <c:pt idx="12">
                  <c:v>3.558254200146092</c:v>
                </c:pt>
              </c:numCache>
            </c:numRef>
          </c:val>
        </c:ser>
        <c:dLbls>
          <c:showLegendKey val="0"/>
          <c:showVal val="0"/>
          <c:showCatName val="0"/>
          <c:showSerName val="0"/>
          <c:showPercent val="0"/>
          <c:showBubbleSize val="0"/>
        </c:dLbls>
        <c:gapWidth val="150"/>
        <c:axId val="695160744"/>
        <c:axId val="695177640"/>
      </c:barChart>
      <c:catAx>
        <c:axId val="695160744"/>
        <c:scaling>
          <c:orientation val="minMax"/>
        </c:scaling>
        <c:delete val="0"/>
        <c:axPos val="b"/>
        <c:majorTickMark val="out"/>
        <c:minorTickMark val="none"/>
        <c:tickLblPos val="nextTo"/>
        <c:crossAx val="695177640"/>
        <c:crosses val="autoZero"/>
        <c:auto val="1"/>
        <c:lblAlgn val="ctr"/>
        <c:lblOffset val="100"/>
        <c:noMultiLvlLbl val="0"/>
      </c:catAx>
      <c:valAx>
        <c:axId val="695177640"/>
        <c:scaling>
          <c:orientation val="minMax"/>
        </c:scaling>
        <c:delete val="0"/>
        <c:axPos val="l"/>
        <c:majorGridlines/>
        <c:numFmt formatCode="0.0" sourceLinked="0"/>
        <c:majorTickMark val="out"/>
        <c:minorTickMark val="none"/>
        <c:tickLblPos val="nextTo"/>
        <c:crossAx val="695160744"/>
        <c:crosses val="autoZero"/>
        <c:crossBetween val="between"/>
      </c:valAx>
    </c:plotArea>
    <c:legend>
      <c:legendPos val="b"/>
      <c:overlay val="0"/>
    </c:legend>
    <c:plotVisOnly val="1"/>
    <c:dispBlanksAs val="gap"/>
    <c:showDLblsOverMax val="0"/>
  </c:chart>
  <c:printSettings>
    <c:headerFooter/>
    <c:pageMargins b="0.750000000000004" l="0.700000000000001" r="0.700000000000001" t="0.750000000000004" header="0.3" footer="0.3"/>
    <c:pageSetup/>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3324592898394"/>
          <c:y val="0.0777664556636303"/>
          <c:w val="0.873246291497908"/>
          <c:h val="0.668069508552811"/>
        </c:manualLayout>
      </c:layout>
      <c:barChart>
        <c:barDir val="col"/>
        <c:grouping val="stacked"/>
        <c:varyColors val="0"/>
        <c:ser>
          <c:idx val="0"/>
          <c:order val="0"/>
          <c:tx>
            <c:v>SPF not used for air control</c:v>
          </c:tx>
          <c:spPr>
            <a:ln>
              <a:solidFill>
                <a:prstClr val="black">
                  <a:lumMod val="85000"/>
                  <a:lumOff val="15000"/>
                </a:prstClr>
              </a:solidFill>
            </a:ln>
          </c:spPr>
          <c:invertIfNegative val="0"/>
          <c:cat>
            <c:strRef>
              <c:f>'Spray Foam Air Barrier'!$D$9:$D$21</c:f>
              <c:strCache>
                <c:ptCount val="13"/>
                <c:pt idx="0">
                  <c:v>Westford</c:v>
                </c:pt>
                <c:pt idx="1">
                  <c:v>Lancaster</c:v>
                </c:pt>
                <c:pt idx="2">
                  <c:v>Milton</c:v>
                </c:pt>
                <c:pt idx="3">
                  <c:v>Brookline</c:v>
                </c:pt>
                <c:pt idx="4">
                  <c:v>Belchertown</c:v>
                </c:pt>
                <c:pt idx="5">
                  <c:v>Jamaica Plain</c:v>
                </c:pt>
                <c:pt idx="6">
                  <c:v>Arlington</c:v>
                </c:pt>
                <c:pt idx="7">
                  <c:v>Gloucester</c:v>
                </c:pt>
                <c:pt idx="8">
                  <c:v>Belmont</c:v>
                </c:pt>
                <c:pt idx="9">
                  <c:v>Northampton</c:v>
                </c:pt>
                <c:pt idx="10">
                  <c:v>Quincy</c:v>
                </c:pt>
                <c:pt idx="11">
                  <c:v>Millbury</c:v>
                </c:pt>
                <c:pt idx="12">
                  <c:v>Newton</c:v>
                </c:pt>
              </c:strCache>
            </c:strRef>
          </c:cat>
          <c:val>
            <c:numRef>
              <c:f>('Spray Foam Air Barrier'!$AI$9:$AI$18,'Spray Foam Air Barrier'!$AH$19:$AH$21)</c:f>
              <c:numCache>
                <c:formatCode>General</c:formatCode>
                <c:ptCount val="13"/>
                <c:pt idx="10" formatCode="0.00">
                  <c:v>1.2579100863919</c:v>
                </c:pt>
                <c:pt idx="11" formatCode="0.00">
                  <c:v>1.418823529411765</c:v>
                </c:pt>
                <c:pt idx="12" formatCode="0.00">
                  <c:v>3.558254200146092</c:v>
                </c:pt>
              </c:numCache>
            </c:numRef>
          </c:val>
        </c:ser>
        <c:ser>
          <c:idx val="2"/>
          <c:order val="1"/>
          <c:tx>
            <c:v>SPF used for roof air control</c:v>
          </c:tx>
          <c:spPr>
            <a:ln>
              <a:solidFill>
                <a:prstClr val="black">
                  <a:lumMod val="85000"/>
                  <a:lumOff val="15000"/>
                </a:prstClr>
              </a:solidFill>
            </a:ln>
          </c:spPr>
          <c:invertIfNegative val="0"/>
          <c:val>
            <c:numRef>
              <c:f>'Spray Foam Air Barrier'!$AF$9:$AF$21</c:f>
              <c:numCache>
                <c:formatCode>0.00</c:formatCode>
                <c:ptCount val="13"/>
                <c:pt idx="0">
                  <c:v>1.254637436762226</c:v>
                </c:pt>
                <c:pt idx="2">
                  <c:v>1.432683501242967</c:v>
                </c:pt>
                <c:pt idx="3">
                  <c:v>1.500744644289151</c:v>
                </c:pt>
                <c:pt idx="6">
                  <c:v>7.257150566648678</c:v>
                </c:pt>
              </c:numCache>
            </c:numRef>
          </c:val>
        </c:ser>
        <c:ser>
          <c:idx val="4"/>
          <c:order val="2"/>
          <c:tx>
            <c:v>No SPF used</c:v>
          </c:tx>
          <c:spPr>
            <a:ln>
              <a:solidFill>
                <a:prstClr val="black">
                  <a:lumMod val="85000"/>
                  <a:lumOff val="15000"/>
                </a:prstClr>
              </a:solidFill>
            </a:ln>
          </c:spPr>
          <c:invertIfNegative val="0"/>
          <c:val>
            <c:numRef>
              <c:f>('Spray Foam Air Barrier'!$AH$9:$AH$18,'Spray Foam Air Barrier'!$AI$19:$AI$21)</c:f>
              <c:numCache>
                <c:formatCode>General</c:formatCode>
                <c:ptCount val="13"/>
                <c:pt idx="7" formatCode="0.00">
                  <c:v>0.605540047240713</c:v>
                </c:pt>
                <c:pt idx="8" formatCode="0.00">
                  <c:v>0.74204502578292</c:v>
                </c:pt>
                <c:pt idx="9" formatCode="0.00">
                  <c:v>0.819662661737523</c:v>
                </c:pt>
              </c:numCache>
            </c:numRef>
          </c:val>
        </c:ser>
        <c:ser>
          <c:idx val="1"/>
          <c:order val="3"/>
          <c:tx>
            <c:v>SPF used for roof and wall air control</c:v>
          </c:tx>
          <c:spPr>
            <a:ln>
              <a:solidFill>
                <a:prstClr val="black">
                  <a:lumMod val="85000"/>
                  <a:lumOff val="15000"/>
                </a:prstClr>
              </a:solidFill>
            </a:ln>
          </c:spPr>
          <c:invertIfNegative val="0"/>
          <c:val>
            <c:numRef>
              <c:f>'Spray Foam Air Barrier'!$AE$9:$AE$21</c:f>
              <c:numCache>
                <c:formatCode>General</c:formatCode>
                <c:ptCount val="13"/>
                <c:pt idx="4" formatCode="0.00">
                  <c:v>1.875500935078814</c:v>
                </c:pt>
              </c:numCache>
            </c:numRef>
          </c:val>
        </c:ser>
        <c:ser>
          <c:idx val="3"/>
          <c:order val="4"/>
          <c:tx>
            <c:v>SPF used for attic air control</c:v>
          </c:tx>
          <c:spPr>
            <a:solidFill>
              <a:srgbClr val="FFFF00"/>
            </a:solidFill>
            <a:ln>
              <a:solidFill>
                <a:prstClr val="black">
                  <a:lumMod val="85000"/>
                  <a:lumOff val="15000"/>
                </a:prstClr>
              </a:solidFill>
            </a:ln>
          </c:spPr>
          <c:invertIfNegative val="0"/>
          <c:val>
            <c:numRef>
              <c:f>'Spray Foam Air Barrier'!$AG$9:$AG$21</c:f>
              <c:numCache>
                <c:formatCode>0.00</c:formatCode>
                <c:ptCount val="13"/>
                <c:pt idx="1">
                  <c:v>1.425097276264591</c:v>
                </c:pt>
                <c:pt idx="5">
                  <c:v>2.538862536983985</c:v>
                </c:pt>
              </c:numCache>
            </c:numRef>
          </c:val>
        </c:ser>
        <c:dLbls>
          <c:showLegendKey val="0"/>
          <c:showVal val="0"/>
          <c:showCatName val="0"/>
          <c:showSerName val="0"/>
          <c:showPercent val="0"/>
          <c:showBubbleSize val="0"/>
        </c:dLbls>
        <c:gapWidth val="150"/>
        <c:overlap val="100"/>
        <c:axId val="648871048"/>
        <c:axId val="756046984"/>
      </c:barChart>
      <c:catAx>
        <c:axId val="648871048"/>
        <c:scaling>
          <c:orientation val="minMax"/>
        </c:scaling>
        <c:delete val="0"/>
        <c:axPos val="b"/>
        <c:majorTickMark val="out"/>
        <c:minorTickMark val="none"/>
        <c:tickLblPos val="nextTo"/>
        <c:crossAx val="756046984"/>
        <c:crosses val="autoZero"/>
        <c:auto val="1"/>
        <c:lblAlgn val="ctr"/>
        <c:lblOffset val="100"/>
        <c:noMultiLvlLbl val="0"/>
      </c:catAx>
      <c:valAx>
        <c:axId val="756046984"/>
        <c:scaling>
          <c:orientation val="minMax"/>
        </c:scaling>
        <c:delete val="0"/>
        <c:axPos val="l"/>
        <c:majorGridlines/>
        <c:numFmt formatCode="0.0" sourceLinked="0"/>
        <c:majorTickMark val="out"/>
        <c:minorTickMark val="none"/>
        <c:tickLblPos val="nextTo"/>
        <c:crossAx val="648871048"/>
        <c:crosses val="autoZero"/>
        <c:crossBetween val="between"/>
      </c:valAx>
    </c:plotArea>
    <c:legend>
      <c:legendPos val="b"/>
      <c:layout>
        <c:manualLayout>
          <c:xMode val="edge"/>
          <c:yMode val="edge"/>
          <c:x val="0.0499999161446672"/>
          <c:y val="0.909290423664362"/>
          <c:w val="0.944728434504793"/>
          <c:h val="0.0907095763356378"/>
        </c:manualLayout>
      </c:layout>
      <c:overlay val="0"/>
    </c:legend>
    <c:plotVisOnly val="1"/>
    <c:dispBlanksAs val="gap"/>
    <c:showDLblsOverMax val="0"/>
  </c:chart>
  <c:printSettings>
    <c:headerFooter/>
    <c:pageMargins b="0.750000000000004" l="0.700000000000001" r="0.700000000000001" t="0.750000000000004" header="0.3" footer="0.3"/>
    <c:pageSetup/>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3175266031043"/>
          <c:y val="0.0627340547948748"/>
          <c:w val="0.877655404895476"/>
          <c:h val="0.694342086549527"/>
        </c:manualLayout>
      </c:layout>
      <c:barChart>
        <c:barDir val="col"/>
        <c:grouping val="clustered"/>
        <c:varyColors val="0"/>
        <c:ser>
          <c:idx val="0"/>
          <c:order val="0"/>
          <c:tx>
            <c:v>ACH50</c:v>
          </c:tx>
          <c:spPr>
            <a:ln>
              <a:solidFill>
                <a:schemeClr val="tx1"/>
              </a:solidFill>
            </a:ln>
          </c:spPr>
          <c:invertIfNegative val="0"/>
          <c:cat>
            <c:strRef>
              <c:f>'Unvented vs Vented Attic'!$D$9:$D$21</c:f>
              <c:strCache>
                <c:ptCount val="13"/>
                <c:pt idx="0">
                  <c:v>Gloucester</c:v>
                </c:pt>
                <c:pt idx="1">
                  <c:v>Belmont</c:v>
                </c:pt>
                <c:pt idx="2">
                  <c:v>Northampton</c:v>
                </c:pt>
                <c:pt idx="3">
                  <c:v>Quincy</c:v>
                </c:pt>
                <c:pt idx="4">
                  <c:v>Millbury</c:v>
                </c:pt>
                <c:pt idx="5">
                  <c:v>Newton</c:v>
                </c:pt>
                <c:pt idx="6">
                  <c:v>Westford</c:v>
                </c:pt>
                <c:pt idx="7">
                  <c:v>Milton</c:v>
                </c:pt>
                <c:pt idx="8">
                  <c:v>Brookline</c:v>
                </c:pt>
                <c:pt idx="9">
                  <c:v>Belchertown</c:v>
                </c:pt>
                <c:pt idx="10">
                  <c:v>Arlington</c:v>
                </c:pt>
                <c:pt idx="11">
                  <c:v>Lancaster</c:v>
                </c:pt>
                <c:pt idx="12">
                  <c:v>Jamaica Plain</c:v>
                </c:pt>
              </c:strCache>
            </c:strRef>
          </c:cat>
          <c:val>
            <c:numRef>
              <c:f>'Unvented vs Vented Attic'!$W$9:$W$21</c:f>
              <c:numCache>
                <c:formatCode>0.00</c:formatCode>
                <c:ptCount val="13"/>
                <c:pt idx="0">
                  <c:v>0.605540047240713</c:v>
                </c:pt>
                <c:pt idx="1">
                  <c:v>0.74204502578292</c:v>
                </c:pt>
                <c:pt idx="2">
                  <c:v>0.819662661737523</c:v>
                </c:pt>
                <c:pt idx="3">
                  <c:v>1.2579100863919</c:v>
                </c:pt>
                <c:pt idx="4">
                  <c:v>1.418823529411765</c:v>
                </c:pt>
                <c:pt idx="5">
                  <c:v>3.558254200146092</c:v>
                </c:pt>
                <c:pt idx="6">
                  <c:v>1.254637436762226</c:v>
                </c:pt>
                <c:pt idx="7">
                  <c:v>1.432683501242967</c:v>
                </c:pt>
                <c:pt idx="8">
                  <c:v>1.500744644289151</c:v>
                </c:pt>
                <c:pt idx="9">
                  <c:v>1.875500935078814</c:v>
                </c:pt>
                <c:pt idx="10">
                  <c:v>7.257150566648678</c:v>
                </c:pt>
                <c:pt idx="11">
                  <c:v>1.425097276264591</c:v>
                </c:pt>
                <c:pt idx="12">
                  <c:v>2.538862536983985</c:v>
                </c:pt>
              </c:numCache>
            </c:numRef>
          </c:val>
        </c:ser>
        <c:dLbls>
          <c:showLegendKey val="0"/>
          <c:showVal val="0"/>
          <c:showCatName val="0"/>
          <c:showSerName val="0"/>
          <c:showPercent val="0"/>
          <c:showBubbleSize val="0"/>
        </c:dLbls>
        <c:gapWidth val="150"/>
        <c:axId val="759382184"/>
        <c:axId val="759366648"/>
      </c:barChart>
      <c:catAx>
        <c:axId val="759382184"/>
        <c:scaling>
          <c:orientation val="minMax"/>
        </c:scaling>
        <c:delete val="0"/>
        <c:axPos val="b"/>
        <c:majorTickMark val="out"/>
        <c:minorTickMark val="none"/>
        <c:tickLblPos val="nextTo"/>
        <c:crossAx val="759366648"/>
        <c:crosses val="autoZero"/>
        <c:auto val="1"/>
        <c:lblAlgn val="ctr"/>
        <c:lblOffset val="100"/>
        <c:noMultiLvlLbl val="0"/>
      </c:catAx>
      <c:valAx>
        <c:axId val="759366648"/>
        <c:scaling>
          <c:orientation val="minMax"/>
        </c:scaling>
        <c:delete val="0"/>
        <c:axPos val="l"/>
        <c:majorGridlines/>
        <c:numFmt formatCode="0.0" sourceLinked="0"/>
        <c:majorTickMark val="out"/>
        <c:minorTickMark val="none"/>
        <c:tickLblPos val="nextTo"/>
        <c:crossAx val="759382184"/>
        <c:crosses val="autoZero"/>
        <c:crossBetween val="between"/>
      </c:valAx>
    </c:plotArea>
    <c:plotVisOnly val="1"/>
    <c:dispBlanksAs val="gap"/>
    <c:showDLblsOverMax val="0"/>
  </c:chart>
  <c:printSettings>
    <c:headerFooter/>
    <c:pageMargins b="0.750000000000004" l="0.700000000000001" r="0.700000000000001" t="0.750000000000004" header="0.3" footer="0.3"/>
    <c:pageSetup/>
  </c:printSettings>
  <c:userShapes r:id="rId1"/>
</c:chartSpace>
</file>

<file path=xl/charts/chart1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title>
    <c:autoTitleDeleted val="0"/>
    <c:plotArea>
      <c:layout>
        <c:manualLayout>
          <c:layoutTarget val="inner"/>
          <c:xMode val="edge"/>
          <c:yMode val="edge"/>
          <c:x val="0.103175266031043"/>
          <c:y val="0.0627340547948748"/>
          <c:w val="0.877655404895476"/>
          <c:h val="0.694342086549527"/>
        </c:manualLayout>
      </c:layout>
      <c:barChart>
        <c:barDir val="col"/>
        <c:grouping val="clustered"/>
        <c:varyColors val="0"/>
        <c:ser>
          <c:idx val="0"/>
          <c:order val="0"/>
          <c:tx>
            <c:v>ACH50</c:v>
          </c:tx>
          <c:spPr>
            <a:ln>
              <a:solidFill>
                <a:schemeClr val="tx1"/>
              </a:solidFill>
            </a:ln>
          </c:spPr>
          <c:invertIfNegative val="0"/>
          <c:dPt>
            <c:idx val="5"/>
            <c:invertIfNegative val="0"/>
            <c:bubble3D val="0"/>
            <c:spPr>
              <a:pattFill prst="lgCheck">
                <a:fgClr>
                  <a:schemeClr val="accent2"/>
                </a:fgClr>
                <a:bgClr>
                  <a:prstClr val="white"/>
                </a:bgClr>
              </a:pattFill>
              <a:ln>
                <a:solidFill>
                  <a:schemeClr val="tx1"/>
                </a:solidFill>
              </a:ln>
            </c:spPr>
          </c:dPt>
          <c:dPt>
            <c:idx val="6"/>
            <c:invertIfNegative val="0"/>
            <c:bubble3D val="0"/>
            <c:spPr>
              <a:solidFill>
                <a:schemeClr val="accent4"/>
              </a:solidFill>
              <a:ln>
                <a:solidFill>
                  <a:schemeClr val="tx1"/>
                </a:solidFill>
              </a:ln>
            </c:spPr>
          </c:dPt>
          <c:dPt>
            <c:idx val="7"/>
            <c:invertIfNegative val="0"/>
            <c:bubble3D val="0"/>
            <c:spPr>
              <a:solidFill>
                <a:schemeClr val="accent4"/>
              </a:solidFill>
              <a:ln>
                <a:solidFill>
                  <a:schemeClr val="tx1"/>
                </a:solidFill>
              </a:ln>
            </c:spPr>
          </c:dPt>
          <c:dPt>
            <c:idx val="8"/>
            <c:invertIfNegative val="0"/>
            <c:bubble3D val="0"/>
            <c:spPr>
              <a:solidFill>
                <a:schemeClr val="accent4"/>
              </a:solidFill>
              <a:ln>
                <a:solidFill>
                  <a:schemeClr val="tx1"/>
                </a:solidFill>
              </a:ln>
            </c:spPr>
          </c:dPt>
          <c:dPt>
            <c:idx val="9"/>
            <c:invertIfNegative val="0"/>
            <c:bubble3D val="0"/>
            <c:spPr>
              <a:solidFill>
                <a:schemeClr val="accent4"/>
              </a:solidFill>
              <a:ln>
                <a:solidFill>
                  <a:schemeClr val="tx1"/>
                </a:solidFill>
              </a:ln>
            </c:spPr>
          </c:dPt>
          <c:dPt>
            <c:idx val="10"/>
            <c:invertIfNegative val="0"/>
            <c:bubble3D val="0"/>
            <c:spPr>
              <a:pattFill prst="wdUpDiag">
                <a:fgClr>
                  <a:schemeClr val="accent2"/>
                </a:fgClr>
                <a:bgClr>
                  <a:prstClr val="white"/>
                </a:bgClr>
              </a:pattFill>
              <a:ln>
                <a:solidFill>
                  <a:schemeClr val="tx1"/>
                </a:solidFill>
              </a:ln>
            </c:spPr>
          </c:dPt>
          <c:dPt>
            <c:idx val="11"/>
            <c:invertIfNegative val="0"/>
            <c:bubble3D val="0"/>
            <c:spPr>
              <a:solidFill>
                <a:schemeClr val="accent3"/>
              </a:solidFill>
              <a:ln>
                <a:solidFill>
                  <a:schemeClr val="tx1"/>
                </a:solidFill>
              </a:ln>
            </c:spPr>
          </c:dPt>
          <c:dPt>
            <c:idx val="12"/>
            <c:invertIfNegative val="0"/>
            <c:bubble3D val="0"/>
            <c:spPr>
              <a:solidFill>
                <a:schemeClr val="accent3"/>
              </a:solidFill>
              <a:ln>
                <a:solidFill>
                  <a:schemeClr val="tx1"/>
                </a:solidFill>
              </a:ln>
            </c:spPr>
          </c:dPt>
          <c:cat>
            <c:strRef>
              <c:f>'Unvented vs Vented Attic'!$D$9:$D$21</c:f>
              <c:strCache>
                <c:ptCount val="13"/>
                <c:pt idx="0">
                  <c:v>Gloucester</c:v>
                </c:pt>
                <c:pt idx="1">
                  <c:v>Belmont</c:v>
                </c:pt>
                <c:pt idx="2">
                  <c:v>Northampton</c:v>
                </c:pt>
                <c:pt idx="3">
                  <c:v>Quincy</c:v>
                </c:pt>
                <c:pt idx="4">
                  <c:v>Millbury</c:v>
                </c:pt>
                <c:pt idx="5">
                  <c:v>Newton</c:v>
                </c:pt>
                <c:pt idx="6">
                  <c:v>Westford</c:v>
                </c:pt>
                <c:pt idx="7">
                  <c:v>Milton</c:v>
                </c:pt>
                <c:pt idx="8">
                  <c:v>Brookline</c:v>
                </c:pt>
                <c:pt idx="9">
                  <c:v>Belchertown</c:v>
                </c:pt>
                <c:pt idx="10">
                  <c:v>Arlington</c:v>
                </c:pt>
                <c:pt idx="11">
                  <c:v>Lancaster</c:v>
                </c:pt>
                <c:pt idx="12">
                  <c:v>Jamaica Plain</c:v>
                </c:pt>
              </c:strCache>
            </c:strRef>
          </c:cat>
          <c:val>
            <c:numRef>
              <c:f>'Unvented vs Vented Attic'!$W$9:$W$21</c:f>
              <c:numCache>
                <c:formatCode>0.00</c:formatCode>
                <c:ptCount val="13"/>
                <c:pt idx="0">
                  <c:v>0.605540047240713</c:v>
                </c:pt>
                <c:pt idx="1">
                  <c:v>0.74204502578292</c:v>
                </c:pt>
                <c:pt idx="2">
                  <c:v>0.819662661737523</c:v>
                </c:pt>
                <c:pt idx="3">
                  <c:v>1.2579100863919</c:v>
                </c:pt>
                <c:pt idx="4">
                  <c:v>1.418823529411765</c:v>
                </c:pt>
                <c:pt idx="5">
                  <c:v>3.558254200146092</c:v>
                </c:pt>
                <c:pt idx="6">
                  <c:v>1.254637436762226</c:v>
                </c:pt>
                <c:pt idx="7">
                  <c:v>1.432683501242967</c:v>
                </c:pt>
                <c:pt idx="8">
                  <c:v>1.500744644289151</c:v>
                </c:pt>
                <c:pt idx="9">
                  <c:v>1.875500935078814</c:v>
                </c:pt>
                <c:pt idx="10">
                  <c:v>7.257150566648678</c:v>
                </c:pt>
                <c:pt idx="11">
                  <c:v>1.425097276264591</c:v>
                </c:pt>
                <c:pt idx="12">
                  <c:v>2.538862536983985</c:v>
                </c:pt>
              </c:numCache>
            </c:numRef>
          </c:val>
        </c:ser>
        <c:dLbls>
          <c:showLegendKey val="0"/>
          <c:showVal val="0"/>
          <c:showCatName val="0"/>
          <c:showSerName val="0"/>
          <c:showPercent val="0"/>
          <c:showBubbleSize val="0"/>
        </c:dLbls>
        <c:gapWidth val="150"/>
        <c:axId val="773232968"/>
        <c:axId val="773689544"/>
      </c:barChart>
      <c:catAx>
        <c:axId val="773232968"/>
        <c:scaling>
          <c:orientation val="minMax"/>
        </c:scaling>
        <c:delete val="0"/>
        <c:axPos val="b"/>
        <c:majorTickMark val="out"/>
        <c:minorTickMark val="none"/>
        <c:tickLblPos val="nextTo"/>
        <c:txPr>
          <a:bodyPr/>
          <a:lstStyle/>
          <a:p>
            <a:pPr>
              <a:defRPr sz="1200" b="1"/>
            </a:pPr>
            <a:endParaRPr lang="en-US"/>
          </a:p>
        </c:txPr>
        <c:crossAx val="773689544"/>
        <c:crosses val="autoZero"/>
        <c:auto val="1"/>
        <c:lblAlgn val="ctr"/>
        <c:lblOffset val="100"/>
        <c:noMultiLvlLbl val="0"/>
      </c:catAx>
      <c:valAx>
        <c:axId val="773689544"/>
        <c:scaling>
          <c:orientation val="minMax"/>
        </c:scaling>
        <c:delete val="0"/>
        <c:axPos val="l"/>
        <c:majorGridlines/>
        <c:numFmt formatCode="0.0" sourceLinked="0"/>
        <c:majorTickMark val="out"/>
        <c:minorTickMark val="none"/>
        <c:tickLblPos val="nextTo"/>
        <c:txPr>
          <a:bodyPr/>
          <a:lstStyle/>
          <a:p>
            <a:pPr>
              <a:defRPr sz="1400"/>
            </a:pPr>
            <a:endParaRPr lang="en-US"/>
          </a:p>
        </c:txPr>
        <c:crossAx val="773232968"/>
        <c:crosses val="autoZero"/>
        <c:crossBetween val="between"/>
      </c:valAx>
    </c:plotArea>
    <c:plotVisOnly val="1"/>
    <c:dispBlanksAs val="gap"/>
    <c:showDLblsOverMax val="0"/>
  </c:chart>
  <c:printSettings>
    <c:headerFooter/>
    <c:pageMargins b="0.750000000000004" l="0.700000000000001" r="0.700000000000001" t="0.750000000000004" header="0.3" footer="0.3"/>
    <c:pageSetup/>
  </c:printSettings>
  <c:userShapes r:id="rId1"/>
</c:chartSpace>
</file>

<file path=xl/charts/chart1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Post-retrofit</a:t>
            </a:r>
            <a:r>
              <a:rPr lang="en-US" baseline="0"/>
              <a:t> </a:t>
            </a:r>
            <a:r>
              <a:rPr lang="en-US"/>
              <a:t>ACH50 vs CFM50/EnclSA</a:t>
            </a:r>
          </a:p>
        </c:rich>
      </c:tx>
      <c:overlay val="0"/>
    </c:title>
    <c:autoTitleDeleted val="0"/>
    <c:plotArea>
      <c:layout/>
      <c:scatterChart>
        <c:scatterStyle val="lineMarker"/>
        <c:varyColors val="0"/>
        <c:ser>
          <c:idx val="0"/>
          <c:order val="0"/>
          <c:tx>
            <c:v>ACH 50 vs CFM 50/Encl SA</c:v>
          </c:tx>
          <c:spPr>
            <a:ln w="28575">
              <a:noFill/>
            </a:ln>
          </c:spPr>
          <c:trendline>
            <c:spPr>
              <a:ln w="25400">
                <a:solidFill>
                  <a:srgbClr val="FF0000"/>
                </a:solidFill>
                <a:prstDash val="dash"/>
              </a:ln>
            </c:spPr>
            <c:trendlineType val="linear"/>
            <c:dispRSqr val="0"/>
            <c:dispEq val="0"/>
          </c:trendline>
          <c:xVal>
            <c:numRef>
              <c:f>'Basement Treatment'!$Y$9:$Y$21</c:f>
              <c:numCache>
                <c:formatCode>0.00</c:formatCode>
                <c:ptCount val="13"/>
                <c:pt idx="0">
                  <c:v>0.605232067510548</c:v>
                </c:pt>
                <c:pt idx="1">
                  <c:v>0.0361928230401971</c:v>
                </c:pt>
                <c:pt idx="2">
                  <c:v>0.0975047179702243</c:v>
                </c:pt>
                <c:pt idx="3">
                  <c:v>0.093969144460028</c:v>
                </c:pt>
                <c:pt idx="4">
                  <c:v>0.156149732620321</c:v>
                </c:pt>
                <c:pt idx="5">
                  <c:v>0.0648850764324205</c:v>
                </c:pt>
                <c:pt idx="6">
                  <c:v>0.0606565786099</c:v>
                </c:pt>
                <c:pt idx="7">
                  <c:v>0.111960035263003</c:v>
                </c:pt>
                <c:pt idx="8">
                  <c:v>0.0909373060211049</c:v>
                </c:pt>
                <c:pt idx="9">
                  <c:v>0.110567184334909</c:v>
                </c:pt>
                <c:pt idx="10">
                  <c:v>0.115100836202656</c:v>
                </c:pt>
                <c:pt idx="11">
                  <c:v>0.241684549356223</c:v>
                </c:pt>
                <c:pt idx="12">
                  <c:v>0.299515794327876</c:v>
                </c:pt>
              </c:numCache>
            </c:numRef>
          </c:xVal>
          <c:yVal>
            <c:numRef>
              <c:f>'Basement Treatment'!$W$9:$W$21</c:f>
              <c:numCache>
                <c:formatCode>0.00</c:formatCode>
                <c:ptCount val="13"/>
                <c:pt idx="0">
                  <c:v>7.257150566648678</c:v>
                </c:pt>
                <c:pt idx="1">
                  <c:v>0.605540047240713</c:v>
                </c:pt>
                <c:pt idx="2">
                  <c:v>1.254637436762226</c:v>
                </c:pt>
                <c:pt idx="3">
                  <c:v>1.418823529411765</c:v>
                </c:pt>
                <c:pt idx="4">
                  <c:v>1.432683501242967</c:v>
                </c:pt>
                <c:pt idx="5">
                  <c:v>0.74204502578292</c:v>
                </c:pt>
                <c:pt idx="6">
                  <c:v>0.819662661737523</c:v>
                </c:pt>
                <c:pt idx="7">
                  <c:v>1.2579100863919</c:v>
                </c:pt>
                <c:pt idx="8">
                  <c:v>1.425097276264591</c:v>
                </c:pt>
                <c:pt idx="9">
                  <c:v>1.500744644289151</c:v>
                </c:pt>
                <c:pt idx="10">
                  <c:v>1.875500935078814</c:v>
                </c:pt>
                <c:pt idx="11">
                  <c:v>2.538862536983985</c:v>
                </c:pt>
                <c:pt idx="12">
                  <c:v>3.558254200146092</c:v>
                </c:pt>
              </c:numCache>
            </c:numRef>
          </c:yVal>
          <c:smooth val="0"/>
        </c:ser>
        <c:dLbls>
          <c:showLegendKey val="0"/>
          <c:showVal val="0"/>
          <c:showCatName val="0"/>
          <c:showSerName val="0"/>
          <c:showPercent val="0"/>
          <c:showBubbleSize val="0"/>
        </c:dLbls>
        <c:axId val="760142456"/>
        <c:axId val="760145128"/>
      </c:scatterChart>
      <c:valAx>
        <c:axId val="760142456"/>
        <c:scaling>
          <c:orientation val="minMax"/>
        </c:scaling>
        <c:delete val="0"/>
        <c:axPos val="b"/>
        <c:numFmt formatCode="0.00" sourceLinked="1"/>
        <c:majorTickMark val="out"/>
        <c:minorTickMark val="none"/>
        <c:tickLblPos val="nextTo"/>
        <c:crossAx val="760145128"/>
        <c:crosses val="autoZero"/>
        <c:crossBetween val="midCat"/>
      </c:valAx>
      <c:valAx>
        <c:axId val="760145128"/>
        <c:scaling>
          <c:orientation val="minMax"/>
        </c:scaling>
        <c:delete val="0"/>
        <c:axPos val="l"/>
        <c:majorGridlines/>
        <c:numFmt formatCode="0.00" sourceLinked="1"/>
        <c:majorTickMark val="out"/>
        <c:minorTickMark val="none"/>
        <c:tickLblPos val="nextTo"/>
        <c:crossAx val="760142456"/>
        <c:crosses val="autoZero"/>
        <c:crossBetween val="midCat"/>
      </c:valAx>
    </c:plotArea>
    <c:legend>
      <c:legendPos val="r"/>
      <c:overlay val="0"/>
    </c:legend>
    <c:plotVisOnly val="1"/>
    <c:dispBlanksAs val="gap"/>
    <c:showDLblsOverMax val="0"/>
  </c:chart>
  <c:printSettings>
    <c:headerFooter/>
    <c:pageMargins b="0.750000000000003" l="0.700000000000001" r="0.700000000000001" t="0.750000000000003"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2662107397847"/>
          <c:y val="0.093852046271994"/>
          <c:w val="0.853874217241032"/>
          <c:h val="0.626410032079324"/>
        </c:manualLayout>
      </c:layout>
      <c:barChart>
        <c:barDir val="col"/>
        <c:grouping val="clustered"/>
        <c:varyColors val="0"/>
        <c:ser>
          <c:idx val="1"/>
          <c:order val="0"/>
          <c:tx>
            <c:v>CFM 50/Encl SA</c:v>
          </c:tx>
          <c:invertIfNegative val="0"/>
          <c:cat>
            <c:strRef>
              <c:f>Charts!$D$9:$D$21</c:f>
              <c:strCache>
                <c:ptCount val="13"/>
                <c:pt idx="0">
                  <c:v>Belchertown</c:v>
                </c:pt>
                <c:pt idx="1">
                  <c:v>Belmont</c:v>
                </c:pt>
                <c:pt idx="2">
                  <c:v>Millbury</c:v>
                </c:pt>
                <c:pt idx="3">
                  <c:v>Milton</c:v>
                </c:pt>
                <c:pt idx="4">
                  <c:v>Quincy</c:v>
                </c:pt>
                <c:pt idx="5">
                  <c:v>Arlington</c:v>
                </c:pt>
                <c:pt idx="6">
                  <c:v>Newton</c:v>
                </c:pt>
                <c:pt idx="7">
                  <c:v>Jamaica Plain</c:v>
                </c:pt>
                <c:pt idx="8">
                  <c:v>Northampton</c:v>
                </c:pt>
                <c:pt idx="9">
                  <c:v>Lancaster</c:v>
                </c:pt>
                <c:pt idx="10">
                  <c:v>Brookline</c:v>
                </c:pt>
                <c:pt idx="11">
                  <c:v>Westford</c:v>
                </c:pt>
                <c:pt idx="12">
                  <c:v>Gloucester</c:v>
                </c:pt>
              </c:strCache>
            </c:strRef>
          </c:cat>
          <c:val>
            <c:numRef>
              <c:f>Charts!$Y$9:$Y$21</c:f>
              <c:numCache>
                <c:formatCode>0.00</c:formatCode>
                <c:ptCount val="13"/>
                <c:pt idx="0">
                  <c:v>0.115100836202656</c:v>
                </c:pt>
                <c:pt idx="1">
                  <c:v>0.0648850764324205</c:v>
                </c:pt>
                <c:pt idx="2">
                  <c:v>0.093969144460028</c:v>
                </c:pt>
                <c:pt idx="3">
                  <c:v>0.156149732620321</c:v>
                </c:pt>
                <c:pt idx="4">
                  <c:v>0.111960035263003</c:v>
                </c:pt>
                <c:pt idx="5">
                  <c:v>0.605232067510548</c:v>
                </c:pt>
                <c:pt idx="6">
                  <c:v>0.299515794327876</c:v>
                </c:pt>
                <c:pt idx="7">
                  <c:v>0.241684549356223</c:v>
                </c:pt>
                <c:pt idx="8">
                  <c:v>0.0606565786099</c:v>
                </c:pt>
                <c:pt idx="9">
                  <c:v>0.0909373060211049</c:v>
                </c:pt>
                <c:pt idx="10">
                  <c:v>0.110567184334909</c:v>
                </c:pt>
                <c:pt idx="11">
                  <c:v>0.0975047179702243</c:v>
                </c:pt>
                <c:pt idx="12">
                  <c:v>0.0361928230401971</c:v>
                </c:pt>
              </c:numCache>
            </c:numRef>
          </c:val>
        </c:ser>
        <c:dLbls>
          <c:showLegendKey val="0"/>
          <c:showVal val="0"/>
          <c:showCatName val="0"/>
          <c:showSerName val="0"/>
          <c:showPercent val="0"/>
          <c:showBubbleSize val="0"/>
        </c:dLbls>
        <c:gapWidth val="150"/>
        <c:axId val="779583496"/>
        <c:axId val="779429032"/>
      </c:barChart>
      <c:catAx>
        <c:axId val="779583496"/>
        <c:scaling>
          <c:orientation val="minMax"/>
        </c:scaling>
        <c:delete val="0"/>
        <c:axPos val="b"/>
        <c:majorTickMark val="out"/>
        <c:minorTickMark val="none"/>
        <c:tickLblPos val="nextTo"/>
        <c:crossAx val="779429032"/>
        <c:crosses val="autoZero"/>
        <c:auto val="1"/>
        <c:lblAlgn val="ctr"/>
        <c:lblOffset val="100"/>
        <c:noMultiLvlLbl val="0"/>
      </c:catAx>
      <c:valAx>
        <c:axId val="779429032"/>
        <c:scaling>
          <c:orientation val="minMax"/>
        </c:scaling>
        <c:delete val="0"/>
        <c:axPos val="l"/>
        <c:majorGridlines/>
        <c:minorGridlines/>
        <c:numFmt formatCode="0.00" sourceLinked="1"/>
        <c:majorTickMark val="out"/>
        <c:minorTickMark val="none"/>
        <c:tickLblPos val="nextTo"/>
        <c:crossAx val="779583496"/>
        <c:crosses val="autoZero"/>
        <c:crossBetween val="between"/>
        <c:minorUnit val="0.05"/>
      </c:valAx>
    </c:plotArea>
    <c:legend>
      <c:legendPos val="b"/>
      <c:overlay val="0"/>
    </c:legend>
    <c:plotVisOnly val="1"/>
    <c:dispBlanksAs val="gap"/>
    <c:showDLblsOverMax val="0"/>
  </c:chart>
  <c:printSettings>
    <c:headerFooter/>
    <c:pageMargins b="0.750000000000004" l="0.700000000000001" r="0.700000000000001" t="0.750000000000004" header="0.3" footer="0.3"/>
    <c:pageSetup/>
  </c:printSettings>
  <c:userShapes r:id="rId1"/>
</c:chartSpace>
</file>

<file path=xl/charts/chart2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Post-retrofit</a:t>
            </a:r>
            <a:r>
              <a:rPr lang="en-US" baseline="0"/>
              <a:t> ACH50 vs number of households in building</a:t>
            </a:r>
            <a:endParaRPr lang="en-US"/>
          </a:p>
        </c:rich>
      </c:tx>
      <c:layout>
        <c:manualLayout>
          <c:xMode val="edge"/>
          <c:yMode val="edge"/>
          <c:x val="0.14663188976378"/>
          <c:y val="0.027777777777778"/>
        </c:manualLayout>
      </c:layout>
      <c:overlay val="0"/>
    </c:title>
    <c:autoTitleDeleted val="0"/>
    <c:plotArea>
      <c:layout/>
      <c:scatterChart>
        <c:scatterStyle val="lineMarker"/>
        <c:varyColors val="0"/>
        <c:ser>
          <c:idx val="0"/>
          <c:order val="0"/>
          <c:tx>
            <c:v>Number of households in retrofit</c:v>
          </c:tx>
          <c:spPr>
            <a:ln w="28575">
              <a:noFill/>
            </a:ln>
          </c:spPr>
          <c:xVal>
            <c:numRef>
              <c:f>'Basement Treatment'!$C$9:$C$21</c:f>
              <c:numCache>
                <c:formatCode>General</c:formatCode>
                <c:ptCount val="13"/>
                <c:pt idx="0">
                  <c:v>2.0</c:v>
                </c:pt>
                <c:pt idx="1">
                  <c:v>1.0</c:v>
                </c:pt>
                <c:pt idx="2">
                  <c:v>1.0</c:v>
                </c:pt>
                <c:pt idx="3">
                  <c:v>1.0</c:v>
                </c:pt>
                <c:pt idx="4">
                  <c:v>1.0</c:v>
                </c:pt>
                <c:pt idx="5">
                  <c:v>2.0</c:v>
                </c:pt>
                <c:pt idx="6">
                  <c:v>1.0</c:v>
                </c:pt>
                <c:pt idx="7">
                  <c:v>1.0</c:v>
                </c:pt>
                <c:pt idx="8">
                  <c:v>1.0</c:v>
                </c:pt>
                <c:pt idx="9">
                  <c:v>1.0</c:v>
                </c:pt>
                <c:pt idx="10">
                  <c:v>1.0</c:v>
                </c:pt>
                <c:pt idx="11">
                  <c:v>3.0</c:v>
                </c:pt>
                <c:pt idx="12">
                  <c:v>1.0</c:v>
                </c:pt>
              </c:numCache>
            </c:numRef>
          </c:xVal>
          <c:yVal>
            <c:numRef>
              <c:f>'Basement Treatment'!$W$9:$W$21</c:f>
              <c:numCache>
                <c:formatCode>0.00</c:formatCode>
                <c:ptCount val="13"/>
                <c:pt idx="0">
                  <c:v>7.257150566648678</c:v>
                </c:pt>
                <c:pt idx="1">
                  <c:v>0.605540047240713</c:v>
                </c:pt>
                <c:pt idx="2">
                  <c:v>1.254637436762226</c:v>
                </c:pt>
                <c:pt idx="3">
                  <c:v>1.418823529411765</c:v>
                </c:pt>
                <c:pt idx="4">
                  <c:v>1.432683501242967</c:v>
                </c:pt>
                <c:pt idx="5">
                  <c:v>0.74204502578292</c:v>
                </c:pt>
                <c:pt idx="6">
                  <c:v>0.819662661737523</c:v>
                </c:pt>
                <c:pt idx="7">
                  <c:v>1.2579100863919</c:v>
                </c:pt>
                <c:pt idx="8">
                  <c:v>1.425097276264591</c:v>
                </c:pt>
                <c:pt idx="9">
                  <c:v>1.500744644289151</c:v>
                </c:pt>
                <c:pt idx="10">
                  <c:v>1.875500935078814</c:v>
                </c:pt>
                <c:pt idx="11">
                  <c:v>2.538862536983985</c:v>
                </c:pt>
                <c:pt idx="12">
                  <c:v>3.558254200146092</c:v>
                </c:pt>
              </c:numCache>
            </c:numRef>
          </c:yVal>
          <c:smooth val="0"/>
        </c:ser>
        <c:dLbls>
          <c:showLegendKey val="0"/>
          <c:showVal val="0"/>
          <c:showCatName val="0"/>
          <c:showSerName val="0"/>
          <c:showPercent val="0"/>
          <c:showBubbleSize val="0"/>
        </c:dLbls>
        <c:axId val="760172872"/>
        <c:axId val="760175960"/>
      </c:scatterChart>
      <c:valAx>
        <c:axId val="760172872"/>
        <c:scaling>
          <c:orientation val="minMax"/>
        </c:scaling>
        <c:delete val="0"/>
        <c:axPos val="b"/>
        <c:numFmt formatCode="General" sourceLinked="1"/>
        <c:majorTickMark val="out"/>
        <c:minorTickMark val="none"/>
        <c:tickLblPos val="nextTo"/>
        <c:crossAx val="760175960"/>
        <c:crosses val="autoZero"/>
        <c:crossBetween val="midCat"/>
      </c:valAx>
      <c:valAx>
        <c:axId val="760175960"/>
        <c:scaling>
          <c:orientation val="minMax"/>
        </c:scaling>
        <c:delete val="0"/>
        <c:axPos val="l"/>
        <c:majorGridlines/>
        <c:numFmt formatCode="0.00" sourceLinked="1"/>
        <c:majorTickMark val="out"/>
        <c:minorTickMark val="none"/>
        <c:tickLblPos val="nextTo"/>
        <c:crossAx val="760172872"/>
        <c:crosses val="autoZero"/>
        <c:crossBetween val="midCat"/>
      </c:valAx>
    </c:plotArea>
    <c:legend>
      <c:legendPos val="r"/>
      <c:overlay val="0"/>
    </c:legend>
    <c:plotVisOnly val="1"/>
    <c:dispBlanksAs val="gap"/>
    <c:showDLblsOverMax val="0"/>
  </c:chart>
  <c:printSettings>
    <c:headerFooter/>
    <c:pageMargins b="0.750000000000003" l="0.700000000000001" r="0.700000000000001" t="0.750000000000003"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Post-retrofit ACH50 vs Conditioned Floor Area</a:t>
            </a:r>
          </a:p>
        </c:rich>
      </c:tx>
      <c:overlay val="0"/>
    </c:title>
    <c:autoTitleDeleted val="0"/>
    <c:plotArea>
      <c:layout/>
      <c:scatterChart>
        <c:scatterStyle val="lineMarker"/>
        <c:varyColors val="0"/>
        <c:ser>
          <c:idx val="0"/>
          <c:order val="0"/>
          <c:tx>
            <c:v>ACH50 vs Conditioned Floor Area</c:v>
          </c:tx>
          <c:spPr>
            <a:ln w="28575">
              <a:noFill/>
            </a:ln>
          </c:spPr>
          <c:trendline>
            <c:spPr>
              <a:ln w="25400">
                <a:solidFill>
                  <a:srgbClr val="FF0000"/>
                </a:solidFill>
                <a:prstDash val="dash"/>
              </a:ln>
            </c:spPr>
            <c:trendlineType val="linear"/>
            <c:dispRSqr val="0"/>
            <c:dispEq val="0"/>
          </c:trendline>
          <c:xVal>
            <c:numRef>
              <c:f>'Basement Treatment'!$O$9:$O$21</c:f>
              <c:numCache>
                <c:formatCode>General</c:formatCode>
                <c:ptCount val="13"/>
                <c:pt idx="0">
                  <c:v>3627.0</c:v>
                </c:pt>
                <c:pt idx="1">
                  <c:v>2424.0</c:v>
                </c:pt>
                <c:pt idx="2">
                  <c:v>3955.0</c:v>
                </c:pt>
                <c:pt idx="3">
                  <c:v>1868.0</c:v>
                </c:pt>
                <c:pt idx="4">
                  <c:v>2368.0</c:v>
                </c:pt>
                <c:pt idx="5">
                  <c:v>4768.0</c:v>
                </c:pt>
                <c:pt idx="6">
                  <c:v>2747.0</c:v>
                </c:pt>
                <c:pt idx="7">
                  <c:v>4576.0</c:v>
                </c:pt>
                <c:pt idx="8">
                  <c:v>1440.0</c:v>
                </c:pt>
                <c:pt idx="9">
                  <c:v>3174.0</c:v>
                </c:pt>
                <c:pt idx="10">
                  <c:v>1907.0</c:v>
                </c:pt>
                <c:pt idx="11">
                  <c:v>3885.0</c:v>
                </c:pt>
                <c:pt idx="12">
                  <c:v>2199.0</c:v>
                </c:pt>
              </c:numCache>
            </c:numRef>
          </c:xVal>
          <c:yVal>
            <c:numRef>
              <c:f>'Basement Treatment'!$W$9:$W$21</c:f>
              <c:numCache>
                <c:formatCode>0.00</c:formatCode>
                <c:ptCount val="13"/>
                <c:pt idx="0">
                  <c:v>7.257150566648678</c:v>
                </c:pt>
                <c:pt idx="1">
                  <c:v>0.605540047240713</c:v>
                </c:pt>
                <c:pt idx="2">
                  <c:v>1.254637436762226</c:v>
                </c:pt>
                <c:pt idx="3">
                  <c:v>1.418823529411765</c:v>
                </c:pt>
                <c:pt idx="4">
                  <c:v>1.432683501242967</c:v>
                </c:pt>
                <c:pt idx="5">
                  <c:v>0.74204502578292</c:v>
                </c:pt>
                <c:pt idx="6">
                  <c:v>0.819662661737523</c:v>
                </c:pt>
                <c:pt idx="7">
                  <c:v>1.2579100863919</c:v>
                </c:pt>
                <c:pt idx="8">
                  <c:v>1.425097276264591</c:v>
                </c:pt>
                <c:pt idx="9">
                  <c:v>1.500744644289151</c:v>
                </c:pt>
                <c:pt idx="10">
                  <c:v>1.875500935078814</c:v>
                </c:pt>
                <c:pt idx="11">
                  <c:v>2.538862536983985</c:v>
                </c:pt>
                <c:pt idx="12">
                  <c:v>3.558254200146092</c:v>
                </c:pt>
              </c:numCache>
            </c:numRef>
          </c:yVal>
          <c:smooth val="0"/>
        </c:ser>
        <c:dLbls>
          <c:showLegendKey val="0"/>
          <c:showVal val="0"/>
          <c:showCatName val="0"/>
          <c:showSerName val="0"/>
          <c:showPercent val="0"/>
          <c:showBubbleSize val="0"/>
        </c:dLbls>
        <c:axId val="759677512"/>
        <c:axId val="759897656"/>
      </c:scatterChart>
      <c:valAx>
        <c:axId val="759677512"/>
        <c:scaling>
          <c:orientation val="minMax"/>
        </c:scaling>
        <c:delete val="0"/>
        <c:axPos val="b"/>
        <c:numFmt formatCode="General" sourceLinked="1"/>
        <c:majorTickMark val="out"/>
        <c:minorTickMark val="none"/>
        <c:tickLblPos val="nextTo"/>
        <c:crossAx val="759897656"/>
        <c:crosses val="autoZero"/>
        <c:crossBetween val="midCat"/>
      </c:valAx>
      <c:valAx>
        <c:axId val="759897656"/>
        <c:scaling>
          <c:orientation val="minMax"/>
        </c:scaling>
        <c:delete val="0"/>
        <c:axPos val="l"/>
        <c:majorGridlines/>
        <c:numFmt formatCode="0.00" sourceLinked="1"/>
        <c:majorTickMark val="out"/>
        <c:minorTickMark val="none"/>
        <c:tickLblPos val="nextTo"/>
        <c:crossAx val="759677512"/>
        <c:crosses val="autoZero"/>
        <c:crossBetween val="midCat"/>
      </c:valAx>
    </c:plotArea>
    <c:legend>
      <c:legendPos val="r"/>
      <c:overlay val="0"/>
    </c:legend>
    <c:plotVisOnly val="1"/>
    <c:dispBlanksAs val="gap"/>
    <c:showDLblsOverMax val="0"/>
  </c:chart>
  <c:printSettings>
    <c:headerFooter/>
    <c:pageMargins b="0.750000000000003" l="0.700000000000001" r="0.700000000000001" t="0.750000000000003"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Post-retrofit ACH50 vs Conditioned Floor Area</a:t>
            </a:r>
            <a:r>
              <a:rPr lang="en-US" baseline="0"/>
              <a:t> -- w/o Arlington</a:t>
            </a:r>
            <a:endParaRPr lang="en-US"/>
          </a:p>
        </c:rich>
      </c:tx>
      <c:overlay val="0"/>
    </c:title>
    <c:autoTitleDeleted val="0"/>
    <c:plotArea>
      <c:layout/>
      <c:scatterChart>
        <c:scatterStyle val="lineMarker"/>
        <c:varyColors val="0"/>
        <c:ser>
          <c:idx val="0"/>
          <c:order val="0"/>
          <c:tx>
            <c:v>ACH50 vs Conditioned Floor Area</c:v>
          </c:tx>
          <c:spPr>
            <a:ln w="28575">
              <a:noFill/>
            </a:ln>
          </c:spPr>
          <c:trendline>
            <c:spPr>
              <a:ln w="25400">
                <a:solidFill>
                  <a:srgbClr val="FF0000"/>
                </a:solidFill>
                <a:prstDash val="dash"/>
              </a:ln>
            </c:spPr>
            <c:trendlineType val="linear"/>
            <c:dispRSqr val="0"/>
            <c:dispEq val="0"/>
          </c:trendline>
          <c:xVal>
            <c:numRef>
              <c:f>('Basement Treatment'!$O$9:$O$13,'Basement Treatment'!$O$15:$O$21)</c:f>
              <c:numCache>
                <c:formatCode>General</c:formatCode>
                <c:ptCount val="12"/>
                <c:pt idx="0">
                  <c:v>3627.0</c:v>
                </c:pt>
                <c:pt idx="1">
                  <c:v>2424.0</c:v>
                </c:pt>
                <c:pt idx="2">
                  <c:v>3955.0</c:v>
                </c:pt>
                <c:pt idx="3">
                  <c:v>1868.0</c:v>
                </c:pt>
                <c:pt idx="4">
                  <c:v>2368.0</c:v>
                </c:pt>
                <c:pt idx="5">
                  <c:v>2747.0</c:v>
                </c:pt>
                <c:pt idx="6">
                  <c:v>4576.0</c:v>
                </c:pt>
                <c:pt idx="7">
                  <c:v>1440.0</c:v>
                </c:pt>
                <c:pt idx="8">
                  <c:v>3174.0</c:v>
                </c:pt>
                <c:pt idx="9">
                  <c:v>1907.0</c:v>
                </c:pt>
                <c:pt idx="10">
                  <c:v>3885.0</c:v>
                </c:pt>
                <c:pt idx="11">
                  <c:v>2199.0</c:v>
                </c:pt>
              </c:numCache>
            </c:numRef>
          </c:xVal>
          <c:yVal>
            <c:numRef>
              <c:f>('Basement Treatment'!$W$9:$W$13,'Basement Treatment'!$W$15:$W$21)</c:f>
              <c:numCache>
                <c:formatCode>0.00</c:formatCode>
                <c:ptCount val="12"/>
                <c:pt idx="0">
                  <c:v>7.257150566648678</c:v>
                </c:pt>
                <c:pt idx="1">
                  <c:v>0.605540047240713</c:v>
                </c:pt>
                <c:pt idx="2">
                  <c:v>1.254637436762226</c:v>
                </c:pt>
                <c:pt idx="3">
                  <c:v>1.418823529411765</c:v>
                </c:pt>
                <c:pt idx="4">
                  <c:v>1.432683501242967</c:v>
                </c:pt>
                <c:pt idx="5">
                  <c:v>0.819662661737523</c:v>
                </c:pt>
                <c:pt idx="6">
                  <c:v>1.2579100863919</c:v>
                </c:pt>
                <c:pt idx="7">
                  <c:v>1.425097276264591</c:v>
                </c:pt>
                <c:pt idx="8">
                  <c:v>1.500744644289151</c:v>
                </c:pt>
                <c:pt idx="9">
                  <c:v>1.875500935078814</c:v>
                </c:pt>
                <c:pt idx="10">
                  <c:v>2.538862536983985</c:v>
                </c:pt>
                <c:pt idx="11">
                  <c:v>3.558254200146092</c:v>
                </c:pt>
              </c:numCache>
            </c:numRef>
          </c:yVal>
          <c:smooth val="0"/>
        </c:ser>
        <c:dLbls>
          <c:showLegendKey val="0"/>
          <c:showVal val="0"/>
          <c:showCatName val="0"/>
          <c:showSerName val="0"/>
          <c:showPercent val="0"/>
          <c:showBubbleSize val="0"/>
        </c:dLbls>
        <c:axId val="759344888"/>
        <c:axId val="759094808"/>
      </c:scatterChart>
      <c:valAx>
        <c:axId val="759344888"/>
        <c:scaling>
          <c:orientation val="minMax"/>
        </c:scaling>
        <c:delete val="0"/>
        <c:axPos val="b"/>
        <c:numFmt formatCode="General" sourceLinked="1"/>
        <c:majorTickMark val="out"/>
        <c:minorTickMark val="none"/>
        <c:tickLblPos val="nextTo"/>
        <c:crossAx val="759094808"/>
        <c:crosses val="autoZero"/>
        <c:crossBetween val="midCat"/>
      </c:valAx>
      <c:valAx>
        <c:axId val="759094808"/>
        <c:scaling>
          <c:orientation val="minMax"/>
        </c:scaling>
        <c:delete val="0"/>
        <c:axPos val="l"/>
        <c:majorGridlines/>
        <c:numFmt formatCode="0.00" sourceLinked="1"/>
        <c:majorTickMark val="out"/>
        <c:minorTickMark val="none"/>
        <c:tickLblPos val="nextTo"/>
        <c:crossAx val="759344888"/>
        <c:crosses val="autoZero"/>
        <c:crossBetween val="midCat"/>
      </c:valAx>
    </c:plotArea>
    <c:legend>
      <c:legendPos val="r"/>
      <c:overlay val="0"/>
    </c:legend>
    <c:plotVisOnly val="1"/>
    <c:dispBlanksAs val="gap"/>
    <c:showDLblsOverMax val="0"/>
  </c:chart>
  <c:printSettings>
    <c:headerFooter/>
    <c:pageMargins b="0.750000000000002" l="0.700000000000001" r="0.700000000000001" t="0.750000000000002"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2994616548844"/>
          <c:y val="0.0668402670138674"/>
          <c:w val="0.860241393183518"/>
          <c:h val="0.632299570508233"/>
        </c:manualLayout>
      </c:layout>
      <c:barChart>
        <c:barDir val="col"/>
        <c:grouping val="clustered"/>
        <c:varyColors val="0"/>
        <c:ser>
          <c:idx val="0"/>
          <c:order val="0"/>
          <c:tx>
            <c:v>ACH 50 sorted by type of fdn treatment</c:v>
          </c:tx>
          <c:invertIfNegative val="0"/>
          <c:cat>
            <c:strRef>
              <c:f>'Basement Treatment'!$D$9:$D$21</c:f>
              <c:strCache>
                <c:ptCount val="13"/>
                <c:pt idx="0">
                  <c:v>Arlington</c:v>
                </c:pt>
                <c:pt idx="1">
                  <c:v>Gloucester</c:v>
                </c:pt>
                <c:pt idx="2">
                  <c:v>Westford</c:v>
                </c:pt>
                <c:pt idx="3">
                  <c:v>Millbury</c:v>
                </c:pt>
                <c:pt idx="4">
                  <c:v>Milton</c:v>
                </c:pt>
                <c:pt idx="5">
                  <c:v>Belmont</c:v>
                </c:pt>
                <c:pt idx="6">
                  <c:v>Northampton</c:v>
                </c:pt>
                <c:pt idx="7">
                  <c:v>Quincy</c:v>
                </c:pt>
                <c:pt idx="8">
                  <c:v>Lancaster</c:v>
                </c:pt>
                <c:pt idx="9">
                  <c:v>Brookline</c:v>
                </c:pt>
                <c:pt idx="10">
                  <c:v>Belchertown</c:v>
                </c:pt>
                <c:pt idx="11">
                  <c:v>Jamaica Plain</c:v>
                </c:pt>
                <c:pt idx="12">
                  <c:v>Newton</c:v>
                </c:pt>
              </c:strCache>
            </c:strRef>
          </c:cat>
          <c:val>
            <c:numRef>
              <c:f>'Basement Treatment'!$W$9:$W$21</c:f>
              <c:numCache>
                <c:formatCode>0.00</c:formatCode>
                <c:ptCount val="13"/>
                <c:pt idx="0">
                  <c:v>7.257150566648678</c:v>
                </c:pt>
                <c:pt idx="1">
                  <c:v>0.605540047240713</c:v>
                </c:pt>
                <c:pt idx="2">
                  <c:v>1.254637436762226</c:v>
                </c:pt>
                <c:pt idx="3">
                  <c:v>1.418823529411765</c:v>
                </c:pt>
                <c:pt idx="4">
                  <c:v>1.432683501242967</c:v>
                </c:pt>
                <c:pt idx="5">
                  <c:v>0.74204502578292</c:v>
                </c:pt>
                <c:pt idx="6">
                  <c:v>0.819662661737523</c:v>
                </c:pt>
                <c:pt idx="7">
                  <c:v>1.2579100863919</c:v>
                </c:pt>
                <c:pt idx="8">
                  <c:v>1.425097276264591</c:v>
                </c:pt>
                <c:pt idx="9">
                  <c:v>1.500744644289151</c:v>
                </c:pt>
                <c:pt idx="10">
                  <c:v>1.875500935078814</c:v>
                </c:pt>
                <c:pt idx="11">
                  <c:v>2.538862536983985</c:v>
                </c:pt>
                <c:pt idx="12">
                  <c:v>3.558254200146092</c:v>
                </c:pt>
              </c:numCache>
            </c:numRef>
          </c:val>
        </c:ser>
        <c:dLbls>
          <c:showLegendKey val="0"/>
          <c:showVal val="0"/>
          <c:showCatName val="0"/>
          <c:showSerName val="0"/>
          <c:showPercent val="0"/>
          <c:showBubbleSize val="0"/>
        </c:dLbls>
        <c:gapWidth val="150"/>
        <c:axId val="759777416"/>
        <c:axId val="759780424"/>
      </c:barChart>
      <c:catAx>
        <c:axId val="759777416"/>
        <c:scaling>
          <c:orientation val="minMax"/>
        </c:scaling>
        <c:delete val="0"/>
        <c:axPos val="b"/>
        <c:majorTickMark val="out"/>
        <c:minorTickMark val="none"/>
        <c:tickLblPos val="nextTo"/>
        <c:crossAx val="759780424"/>
        <c:crosses val="autoZero"/>
        <c:auto val="1"/>
        <c:lblAlgn val="ctr"/>
        <c:lblOffset val="100"/>
        <c:noMultiLvlLbl val="0"/>
      </c:catAx>
      <c:valAx>
        <c:axId val="759780424"/>
        <c:scaling>
          <c:orientation val="minMax"/>
        </c:scaling>
        <c:delete val="0"/>
        <c:axPos val="l"/>
        <c:majorGridlines/>
        <c:numFmt formatCode="0.0" sourceLinked="0"/>
        <c:majorTickMark val="out"/>
        <c:minorTickMark val="none"/>
        <c:tickLblPos val="nextTo"/>
        <c:crossAx val="759777416"/>
        <c:crosses val="autoZero"/>
        <c:crossBetween val="between"/>
      </c:valAx>
    </c:plotArea>
    <c:legend>
      <c:legendPos val="b"/>
      <c:overlay val="0"/>
    </c:legend>
    <c:plotVisOnly val="1"/>
    <c:dispBlanksAs val="gap"/>
    <c:showDLblsOverMax val="0"/>
  </c:chart>
  <c:printSettings>
    <c:headerFooter/>
    <c:pageMargins b="0.750000000000001" l="0.700000000000001" r="0.700000000000001" t="0.750000000000001" header="0.3" footer="0.3"/>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0896106423376"/>
          <c:y val="0.0696875911344417"/>
          <c:w val="0.833817130404751"/>
          <c:h val="0.670430154564014"/>
        </c:manualLayout>
      </c:layout>
      <c:scatterChart>
        <c:scatterStyle val="lineMarker"/>
        <c:varyColors val="0"/>
        <c:ser>
          <c:idx val="0"/>
          <c:order val="0"/>
          <c:tx>
            <c:v>ACH 50 vs CFM 50/Encl SA</c:v>
          </c:tx>
          <c:spPr>
            <a:ln w="28575">
              <a:noFill/>
            </a:ln>
          </c:spPr>
          <c:trendline>
            <c:spPr>
              <a:ln w="19050">
                <a:solidFill>
                  <a:schemeClr val="tx1">
                    <a:lumMod val="50000"/>
                    <a:lumOff val="50000"/>
                  </a:schemeClr>
                </a:solidFill>
                <a:prstDash val="solid"/>
              </a:ln>
            </c:spPr>
            <c:trendlineType val="linear"/>
            <c:dispRSqr val="1"/>
            <c:dispEq val="0"/>
            <c:trendlineLbl>
              <c:layout>
                <c:manualLayout>
                  <c:x val="-0.0933012008876555"/>
                  <c:y val="0.227740594925634"/>
                </c:manualLayout>
              </c:layout>
              <c:numFmt formatCode="General" sourceLinked="0"/>
            </c:trendlineLbl>
          </c:trendline>
          <c:xVal>
            <c:numRef>
              <c:f>Charts!$Y$9:$Y$21</c:f>
              <c:numCache>
                <c:formatCode>0.00</c:formatCode>
                <c:ptCount val="13"/>
                <c:pt idx="0">
                  <c:v>0.115100836202656</c:v>
                </c:pt>
                <c:pt idx="1">
                  <c:v>0.0648850764324205</c:v>
                </c:pt>
                <c:pt idx="2">
                  <c:v>0.093969144460028</c:v>
                </c:pt>
                <c:pt idx="3">
                  <c:v>0.156149732620321</c:v>
                </c:pt>
                <c:pt idx="4">
                  <c:v>0.111960035263003</c:v>
                </c:pt>
                <c:pt idx="5">
                  <c:v>0.605232067510548</c:v>
                </c:pt>
                <c:pt idx="6">
                  <c:v>0.299515794327876</c:v>
                </c:pt>
                <c:pt idx="7">
                  <c:v>0.241684549356223</c:v>
                </c:pt>
                <c:pt idx="8">
                  <c:v>0.0606565786099</c:v>
                </c:pt>
                <c:pt idx="9">
                  <c:v>0.0909373060211049</c:v>
                </c:pt>
                <c:pt idx="10">
                  <c:v>0.110567184334909</c:v>
                </c:pt>
                <c:pt idx="11">
                  <c:v>0.0975047179702243</c:v>
                </c:pt>
                <c:pt idx="12">
                  <c:v>0.0361928230401971</c:v>
                </c:pt>
              </c:numCache>
            </c:numRef>
          </c:xVal>
          <c:yVal>
            <c:numRef>
              <c:f>Charts!$W$9:$W$21</c:f>
              <c:numCache>
                <c:formatCode>0.00</c:formatCode>
                <c:ptCount val="13"/>
                <c:pt idx="0">
                  <c:v>1.875500935078814</c:v>
                </c:pt>
                <c:pt idx="1">
                  <c:v>0.74204502578292</c:v>
                </c:pt>
                <c:pt idx="2">
                  <c:v>1.418823529411765</c:v>
                </c:pt>
                <c:pt idx="3">
                  <c:v>1.432683501242967</c:v>
                </c:pt>
                <c:pt idx="4">
                  <c:v>1.2579100863919</c:v>
                </c:pt>
                <c:pt idx="5">
                  <c:v>7.257150566648678</c:v>
                </c:pt>
                <c:pt idx="6">
                  <c:v>3.558254200146092</c:v>
                </c:pt>
                <c:pt idx="7">
                  <c:v>2.538862536983985</c:v>
                </c:pt>
                <c:pt idx="8">
                  <c:v>0.819662661737523</c:v>
                </c:pt>
                <c:pt idx="9">
                  <c:v>1.425097276264591</c:v>
                </c:pt>
                <c:pt idx="10">
                  <c:v>1.500744644289151</c:v>
                </c:pt>
                <c:pt idx="11">
                  <c:v>1.254637436762226</c:v>
                </c:pt>
                <c:pt idx="12">
                  <c:v>0.605540047240713</c:v>
                </c:pt>
              </c:numCache>
            </c:numRef>
          </c:yVal>
          <c:smooth val="0"/>
        </c:ser>
        <c:dLbls>
          <c:showLegendKey val="0"/>
          <c:showVal val="0"/>
          <c:showCatName val="0"/>
          <c:showSerName val="0"/>
          <c:showPercent val="0"/>
          <c:showBubbleSize val="0"/>
        </c:dLbls>
        <c:axId val="759126488"/>
        <c:axId val="759647560"/>
      </c:scatterChart>
      <c:valAx>
        <c:axId val="759126488"/>
        <c:scaling>
          <c:orientation val="minMax"/>
        </c:scaling>
        <c:delete val="0"/>
        <c:axPos val="b"/>
        <c:numFmt formatCode="0.00" sourceLinked="1"/>
        <c:majorTickMark val="out"/>
        <c:minorTickMark val="none"/>
        <c:tickLblPos val="nextTo"/>
        <c:crossAx val="759647560"/>
        <c:crosses val="autoZero"/>
        <c:crossBetween val="midCat"/>
      </c:valAx>
      <c:valAx>
        <c:axId val="759647560"/>
        <c:scaling>
          <c:orientation val="minMax"/>
        </c:scaling>
        <c:delete val="0"/>
        <c:axPos val="l"/>
        <c:majorGridlines/>
        <c:numFmt formatCode="0.0" sourceLinked="0"/>
        <c:majorTickMark val="out"/>
        <c:minorTickMark val="none"/>
        <c:tickLblPos val="nextTo"/>
        <c:crossAx val="759126488"/>
        <c:crosses val="autoZero"/>
        <c:crossBetween val="midCat"/>
      </c:valAx>
    </c:plotArea>
    <c:plotVisOnly val="1"/>
    <c:dispBlanksAs val="gap"/>
    <c:showDLblsOverMax val="0"/>
  </c:chart>
  <c:printSettings>
    <c:headerFooter/>
    <c:pageMargins b="0.750000000000003" l="0.700000000000001" r="0.700000000000001" t="0.750000000000003" header="0.3" footer="0.3"/>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0398227748692"/>
          <c:y val="0.0949572432478201"/>
          <c:w val="0.795762116694803"/>
          <c:h val="0.693711286089239"/>
        </c:manualLayout>
      </c:layout>
      <c:scatterChart>
        <c:scatterStyle val="lineMarker"/>
        <c:varyColors val="0"/>
        <c:ser>
          <c:idx val="0"/>
          <c:order val="0"/>
          <c:tx>
            <c:v>Post vs Pre CFM 50</c:v>
          </c:tx>
          <c:spPr>
            <a:ln w="28575">
              <a:noFill/>
            </a:ln>
          </c:spPr>
          <c:xVal>
            <c:numRef>
              <c:f>Charts!$T$9:$T$21</c:f>
              <c:numCache>
                <c:formatCode>General</c:formatCode>
                <c:ptCount val="13"/>
                <c:pt idx="0">
                  <c:v>9079.0</c:v>
                </c:pt>
                <c:pt idx="1">
                  <c:v>5700.0</c:v>
                </c:pt>
                <c:pt idx="2">
                  <c:v>2860.0</c:v>
                </c:pt>
                <c:pt idx="3">
                  <c:v>1695.0</c:v>
                </c:pt>
                <c:pt idx="4">
                  <c:v>5050.0</c:v>
                </c:pt>
                <c:pt idx="5">
                  <c:v>8730.0</c:v>
                </c:pt>
                <c:pt idx="6">
                  <c:v>3199.0</c:v>
                </c:pt>
                <c:pt idx="7">
                  <c:v>7729.0</c:v>
                </c:pt>
                <c:pt idx="8">
                  <c:v>6155.0</c:v>
                </c:pt>
                <c:pt idx="9">
                  <c:v>4254.0</c:v>
                </c:pt>
                <c:pt idx="10">
                  <c:v>1640.0</c:v>
                </c:pt>
                <c:pt idx="11">
                  <c:v>2592.0</c:v>
                </c:pt>
                <c:pt idx="12">
                  <c:v>2258.0</c:v>
                </c:pt>
              </c:numCache>
            </c:numRef>
          </c:xVal>
          <c:yVal>
            <c:numRef>
              <c:f>Charts!$U$9:$U$21</c:f>
              <c:numCache>
                <c:formatCode>General</c:formatCode>
                <c:ptCount val="13"/>
                <c:pt idx="0">
                  <c:v>468.0</c:v>
                </c:pt>
                <c:pt idx="1">
                  <c:v>590.0</c:v>
                </c:pt>
                <c:pt idx="2">
                  <c:v>402.0</c:v>
                </c:pt>
                <c:pt idx="3">
                  <c:v>584.0</c:v>
                </c:pt>
                <c:pt idx="4">
                  <c:v>762.0</c:v>
                </c:pt>
                <c:pt idx="5">
                  <c:v>3586.0</c:v>
                </c:pt>
                <c:pt idx="6">
                  <c:v>1299.0</c:v>
                </c:pt>
                <c:pt idx="7">
                  <c:v>1802.0</c:v>
                </c:pt>
                <c:pt idx="8">
                  <c:v>473.0</c:v>
                </c:pt>
                <c:pt idx="9">
                  <c:v>293.0</c:v>
                </c:pt>
                <c:pt idx="10">
                  <c:v>655.0</c:v>
                </c:pt>
                <c:pt idx="11">
                  <c:v>930.0</c:v>
                </c:pt>
                <c:pt idx="12">
                  <c:v>235.0</c:v>
                </c:pt>
              </c:numCache>
            </c:numRef>
          </c:yVal>
          <c:smooth val="0"/>
        </c:ser>
        <c:dLbls>
          <c:showLegendKey val="0"/>
          <c:showVal val="0"/>
          <c:showCatName val="0"/>
          <c:showSerName val="0"/>
          <c:showPercent val="0"/>
          <c:showBubbleSize val="0"/>
        </c:dLbls>
        <c:axId val="758678536"/>
        <c:axId val="758681560"/>
      </c:scatterChart>
      <c:valAx>
        <c:axId val="758678536"/>
        <c:scaling>
          <c:orientation val="minMax"/>
        </c:scaling>
        <c:delete val="0"/>
        <c:axPos val="b"/>
        <c:numFmt formatCode="General" sourceLinked="1"/>
        <c:majorTickMark val="out"/>
        <c:minorTickMark val="none"/>
        <c:tickLblPos val="nextTo"/>
        <c:crossAx val="758681560"/>
        <c:crosses val="autoZero"/>
        <c:crossBetween val="midCat"/>
      </c:valAx>
      <c:valAx>
        <c:axId val="758681560"/>
        <c:scaling>
          <c:orientation val="minMax"/>
        </c:scaling>
        <c:delete val="0"/>
        <c:axPos val="l"/>
        <c:majorGridlines/>
        <c:numFmt formatCode="General" sourceLinked="1"/>
        <c:majorTickMark val="out"/>
        <c:minorTickMark val="none"/>
        <c:tickLblPos val="nextTo"/>
        <c:crossAx val="758678536"/>
        <c:crosses val="autoZero"/>
        <c:crossBetween val="midCat"/>
      </c:valAx>
    </c:plotArea>
    <c:plotVisOnly val="1"/>
    <c:dispBlanksAs val="gap"/>
    <c:showDLblsOverMax val="0"/>
  </c:chart>
  <c:printSettings>
    <c:headerFooter/>
    <c:pageMargins b="0.750000000000003" l="0.700000000000001" r="0.700000000000001" t="0.750000000000003" header="0.3" footer="0.3"/>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Post-retrofit ACH50 vs Conditioned Floor Area</a:t>
            </a:r>
          </a:p>
        </c:rich>
      </c:tx>
      <c:overlay val="0"/>
    </c:title>
    <c:autoTitleDeleted val="0"/>
    <c:plotArea>
      <c:layout/>
      <c:scatterChart>
        <c:scatterStyle val="lineMarker"/>
        <c:varyColors val="0"/>
        <c:ser>
          <c:idx val="0"/>
          <c:order val="0"/>
          <c:tx>
            <c:v>ACH50 vs Conditioned Floor Area</c:v>
          </c:tx>
          <c:spPr>
            <a:ln w="28575">
              <a:noFill/>
            </a:ln>
          </c:spPr>
          <c:trendline>
            <c:spPr>
              <a:ln w="25400">
                <a:solidFill>
                  <a:srgbClr val="FF0000"/>
                </a:solidFill>
                <a:prstDash val="dash"/>
              </a:ln>
            </c:spPr>
            <c:trendlineType val="linear"/>
            <c:dispRSqr val="0"/>
            <c:dispEq val="0"/>
          </c:trendline>
          <c:xVal>
            <c:numRef>
              <c:f>Charts!$O$9:$O$21</c:f>
              <c:numCache>
                <c:formatCode>General</c:formatCode>
                <c:ptCount val="13"/>
                <c:pt idx="0">
                  <c:v>1907.0</c:v>
                </c:pt>
                <c:pt idx="1">
                  <c:v>4768.0</c:v>
                </c:pt>
                <c:pt idx="2">
                  <c:v>1868.0</c:v>
                </c:pt>
                <c:pt idx="3">
                  <c:v>2368.0</c:v>
                </c:pt>
                <c:pt idx="4">
                  <c:v>4576.0</c:v>
                </c:pt>
                <c:pt idx="5">
                  <c:v>3627.0</c:v>
                </c:pt>
                <c:pt idx="6">
                  <c:v>2199.0</c:v>
                </c:pt>
                <c:pt idx="7">
                  <c:v>3885.0</c:v>
                </c:pt>
                <c:pt idx="8">
                  <c:v>2747.0</c:v>
                </c:pt>
                <c:pt idx="9">
                  <c:v>1440.0</c:v>
                </c:pt>
                <c:pt idx="10">
                  <c:v>3174.0</c:v>
                </c:pt>
                <c:pt idx="11">
                  <c:v>3955.0</c:v>
                </c:pt>
                <c:pt idx="12">
                  <c:v>2424.0</c:v>
                </c:pt>
              </c:numCache>
            </c:numRef>
          </c:xVal>
          <c:yVal>
            <c:numRef>
              <c:f>Charts!$W$9:$W$21</c:f>
              <c:numCache>
                <c:formatCode>0.00</c:formatCode>
                <c:ptCount val="13"/>
                <c:pt idx="0">
                  <c:v>1.875500935078814</c:v>
                </c:pt>
                <c:pt idx="1">
                  <c:v>0.74204502578292</c:v>
                </c:pt>
                <c:pt idx="2">
                  <c:v>1.418823529411765</c:v>
                </c:pt>
                <c:pt idx="3">
                  <c:v>1.432683501242967</c:v>
                </c:pt>
                <c:pt idx="4">
                  <c:v>1.2579100863919</c:v>
                </c:pt>
                <c:pt idx="5">
                  <c:v>7.257150566648678</c:v>
                </c:pt>
                <c:pt idx="6">
                  <c:v>3.558254200146092</c:v>
                </c:pt>
                <c:pt idx="7">
                  <c:v>2.538862536983985</c:v>
                </c:pt>
                <c:pt idx="8">
                  <c:v>0.819662661737523</c:v>
                </c:pt>
                <c:pt idx="9">
                  <c:v>1.425097276264591</c:v>
                </c:pt>
                <c:pt idx="10">
                  <c:v>1.500744644289151</c:v>
                </c:pt>
                <c:pt idx="11">
                  <c:v>1.254637436762226</c:v>
                </c:pt>
                <c:pt idx="12">
                  <c:v>0.605540047240713</c:v>
                </c:pt>
              </c:numCache>
            </c:numRef>
          </c:yVal>
          <c:smooth val="0"/>
        </c:ser>
        <c:dLbls>
          <c:showLegendKey val="0"/>
          <c:showVal val="0"/>
          <c:showCatName val="0"/>
          <c:showSerName val="0"/>
          <c:showPercent val="0"/>
          <c:showBubbleSize val="0"/>
        </c:dLbls>
        <c:axId val="758626344"/>
        <c:axId val="554632136"/>
      </c:scatterChart>
      <c:valAx>
        <c:axId val="758626344"/>
        <c:scaling>
          <c:orientation val="minMax"/>
        </c:scaling>
        <c:delete val="0"/>
        <c:axPos val="b"/>
        <c:numFmt formatCode="General" sourceLinked="1"/>
        <c:majorTickMark val="out"/>
        <c:minorTickMark val="none"/>
        <c:tickLblPos val="nextTo"/>
        <c:crossAx val="554632136"/>
        <c:crosses val="autoZero"/>
        <c:crossBetween val="midCat"/>
      </c:valAx>
      <c:valAx>
        <c:axId val="554632136"/>
        <c:scaling>
          <c:orientation val="minMax"/>
        </c:scaling>
        <c:delete val="0"/>
        <c:axPos val="l"/>
        <c:majorGridlines/>
        <c:numFmt formatCode="0.00" sourceLinked="1"/>
        <c:majorTickMark val="out"/>
        <c:minorTickMark val="none"/>
        <c:tickLblPos val="nextTo"/>
        <c:crossAx val="758626344"/>
        <c:crosses val="autoZero"/>
        <c:crossBetween val="midCat"/>
      </c:valAx>
    </c:plotArea>
    <c:legend>
      <c:legendPos val="r"/>
      <c:overlay val="0"/>
    </c:legend>
    <c:plotVisOnly val="1"/>
    <c:dispBlanksAs val="gap"/>
    <c:showDLblsOverMax val="0"/>
  </c:chart>
  <c:printSettings>
    <c:headerFooter/>
    <c:pageMargins b="0.750000000000003" l="0.700000000000001" r="0.700000000000001" t="0.750000000000003" header="0.3" footer="0.3"/>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6994067941512"/>
          <c:y val="0.120844998541849"/>
          <c:w val="0.811137975098866"/>
          <c:h val="0.644351851851852"/>
        </c:manualLayout>
      </c:layout>
      <c:scatterChart>
        <c:scatterStyle val="lineMarker"/>
        <c:varyColors val="0"/>
        <c:ser>
          <c:idx val="0"/>
          <c:order val="0"/>
          <c:tx>
            <c:v>ACH50 vs year house was built</c:v>
          </c:tx>
          <c:spPr>
            <a:ln w="28575">
              <a:noFill/>
            </a:ln>
          </c:spPr>
          <c:xVal>
            <c:numRef>
              <c:f>Charts!$H$9:$H$21</c:f>
              <c:numCache>
                <c:formatCode>General</c:formatCode>
                <c:ptCount val="13"/>
                <c:pt idx="0">
                  <c:v>1760.0</c:v>
                </c:pt>
                <c:pt idx="1">
                  <c:v>1925.0</c:v>
                </c:pt>
                <c:pt idx="2">
                  <c:v>1953.0</c:v>
                </c:pt>
                <c:pt idx="3">
                  <c:v>1960.0</c:v>
                </c:pt>
                <c:pt idx="4">
                  <c:v>1905.0</c:v>
                </c:pt>
                <c:pt idx="5">
                  <c:v>1910.0</c:v>
                </c:pt>
                <c:pt idx="6">
                  <c:v>1930.0</c:v>
                </c:pt>
                <c:pt idx="7">
                  <c:v>1907.0</c:v>
                </c:pt>
                <c:pt idx="8">
                  <c:v>1859.0</c:v>
                </c:pt>
                <c:pt idx="9">
                  <c:v>1900.0</c:v>
                </c:pt>
                <c:pt idx="10">
                  <c:v>1899.0</c:v>
                </c:pt>
                <c:pt idx="11">
                  <c:v>1993.0</c:v>
                </c:pt>
                <c:pt idx="12">
                  <c:v>1920.0</c:v>
                </c:pt>
              </c:numCache>
            </c:numRef>
          </c:xVal>
          <c:yVal>
            <c:numRef>
              <c:f>Charts!$W$9:$W$21</c:f>
              <c:numCache>
                <c:formatCode>0.00</c:formatCode>
                <c:ptCount val="13"/>
                <c:pt idx="0">
                  <c:v>1.875500935078814</c:v>
                </c:pt>
                <c:pt idx="1">
                  <c:v>0.74204502578292</c:v>
                </c:pt>
                <c:pt idx="2">
                  <c:v>1.418823529411765</c:v>
                </c:pt>
                <c:pt idx="3">
                  <c:v>1.432683501242967</c:v>
                </c:pt>
                <c:pt idx="4">
                  <c:v>1.2579100863919</c:v>
                </c:pt>
                <c:pt idx="5">
                  <c:v>7.257150566648678</c:v>
                </c:pt>
                <c:pt idx="6">
                  <c:v>3.558254200146092</c:v>
                </c:pt>
                <c:pt idx="7">
                  <c:v>2.538862536983985</c:v>
                </c:pt>
                <c:pt idx="8">
                  <c:v>0.819662661737523</c:v>
                </c:pt>
                <c:pt idx="9">
                  <c:v>1.425097276264591</c:v>
                </c:pt>
                <c:pt idx="10">
                  <c:v>1.500744644289151</c:v>
                </c:pt>
                <c:pt idx="11">
                  <c:v>1.254637436762226</c:v>
                </c:pt>
                <c:pt idx="12">
                  <c:v>0.605540047240713</c:v>
                </c:pt>
              </c:numCache>
            </c:numRef>
          </c:yVal>
          <c:smooth val="0"/>
        </c:ser>
        <c:dLbls>
          <c:showLegendKey val="0"/>
          <c:showVal val="0"/>
          <c:showCatName val="0"/>
          <c:showSerName val="0"/>
          <c:showPercent val="0"/>
          <c:showBubbleSize val="0"/>
        </c:dLbls>
        <c:axId val="759487976"/>
        <c:axId val="759491064"/>
      </c:scatterChart>
      <c:valAx>
        <c:axId val="759487976"/>
        <c:scaling>
          <c:orientation val="minMax"/>
        </c:scaling>
        <c:delete val="0"/>
        <c:axPos val="b"/>
        <c:numFmt formatCode="General" sourceLinked="1"/>
        <c:majorTickMark val="out"/>
        <c:minorTickMark val="none"/>
        <c:tickLblPos val="nextTo"/>
        <c:crossAx val="759491064"/>
        <c:crosses val="autoZero"/>
        <c:crossBetween val="midCat"/>
      </c:valAx>
      <c:valAx>
        <c:axId val="759491064"/>
        <c:scaling>
          <c:orientation val="minMax"/>
        </c:scaling>
        <c:delete val="0"/>
        <c:axPos val="l"/>
        <c:majorGridlines/>
        <c:numFmt formatCode="0.0" sourceLinked="0"/>
        <c:majorTickMark val="out"/>
        <c:minorTickMark val="none"/>
        <c:tickLblPos val="nextTo"/>
        <c:crossAx val="759487976"/>
        <c:crosses val="autoZero"/>
        <c:crossBetween val="midCat"/>
      </c:valAx>
    </c:plotArea>
    <c:plotVisOnly val="1"/>
    <c:dispBlanksAs val="gap"/>
    <c:showDLblsOverMax val="0"/>
  </c:chart>
  <c:printSettings>
    <c:headerFooter/>
    <c:pageMargins b="0.750000000000003" l="0.700000000000001" r="0.700000000000001" t="0.750000000000003" header="0.3" footer="0.3"/>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0474741146576"/>
          <c:y val="0.0791783318751823"/>
          <c:w val="0.801561271001566"/>
          <c:h val="0.702606080489939"/>
        </c:manualLayout>
      </c:layout>
      <c:scatterChart>
        <c:scatterStyle val="lineMarker"/>
        <c:varyColors val="0"/>
        <c:ser>
          <c:idx val="0"/>
          <c:order val="0"/>
          <c:tx>
            <c:v>ACH50 vs Pre CFM50</c:v>
          </c:tx>
          <c:spPr>
            <a:ln w="28575">
              <a:noFill/>
            </a:ln>
          </c:spPr>
          <c:xVal>
            <c:numRef>
              <c:f>Charts!$T$9:$T$21</c:f>
              <c:numCache>
                <c:formatCode>General</c:formatCode>
                <c:ptCount val="13"/>
                <c:pt idx="0">
                  <c:v>9079.0</c:v>
                </c:pt>
                <c:pt idx="1">
                  <c:v>5700.0</c:v>
                </c:pt>
                <c:pt idx="2">
                  <c:v>2860.0</c:v>
                </c:pt>
                <c:pt idx="3">
                  <c:v>1695.0</c:v>
                </c:pt>
                <c:pt idx="4">
                  <c:v>5050.0</c:v>
                </c:pt>
                <c:pt idx="5">
                  <c:v>8730.0</c:v>
                </c:pt>
                <c:pt idx="6">
                  <c:v>3199.0</c:v>
                </c:pt>
                <c:pt idx="7">
                  <c:v>7729.0</c:v>
                </c:pt>
                <c:pt idx="8">
                  <c:v>6155.0</c:v>
                </c:pt>
                <c:pt idx="9">
                  <c:v>4254.0</c:v>
                </c:pt>
                <c:pt idx="10">
                  <c:v>1640.0</c:v>
                </c:pt>
                <c:pt idx="11">
                  <c:v>2592.0</c:v>
                </c:pt>
                <c:pt idx="12">
                  <c:v>2258.0</c:v>
                </c:pt>
              </c:numCache>
            </c:numRef>
          </c:xVal>
          <c:yVal>
            <c:numRef>
              <c:f>Charts!$W$9:$W$21</c:f>
              <c:numCache>
                <c:formatCode>0.00</c:formatCode>
                <c:ptCount val="13"/>
                <c:pt idx="0">
                  <c:v>1.875500935078814</c:v>
                </c:pt>
                <c:pt idx="1">
                  <c:v>0.74204502578292</c:v>
                </c:pt>
                <c:pt idx="2">
                  <c:v>1.418823529411765</c:v>
                </c:pt>
                <c:pt idx="3">
                  <c:v>1.432683501242967</c:v>
                </c:pt>
                <c:pt idx="4">
                  <c:v>1.2579100863919</c:v>
                </c:pt>
                <c:pt idx="5">
                  <c:v>7.257150566648678</c:v>
                </c:pt>
                <c:pt idx="6">
                  <c:v>3.558254200146092</c:v>
                </c:pt>
                <c:pt idx="7">
                  <c:v>2.538862536983985</c:v>
                </c:pt>
                <c:pt idx="8">
                  <c:v>0.819662661737523</c:v>
                </c:pt>
                <c:pt idx="9">
                  <c:v>1.425097276264591</c:v>
                </c:pt>
                <c:pt idx="10">
                  <c:v>1.500744644289151</c:v>
                </c:pt>
                <c:pt idx="11">
                  <c:v>1.254637436762226</c:v>
                </c:pt>
                <c:pt idx="12">
                  <c:v>0.605540047240713</c:v>
                </c:pt>
              </c:numCache>
            </c:numRef>
          </c:yVal>
          <c:smooth val="0"/>
        </c:ser>
        <c:dLbls>
          <c:showLegendKey val="0"/>
          <c:showVal val="0"/>
          <c:showCatName val="0"/>
          <c:showSerName val="0"/>
          <c:showPercent val="0"/>
          <c:showBubbleSize val="0"/>
        </c:dLbls>
        <c:axId val="759526568"/>
        <c:axId val="759529656"/>
      </c:scatterChart>
      <c:valAx>
        <c:axId val="759526568"/>
        <c:scaling>
          <c:orientation val="minMax"/>
        </c:scaling>
        <c:delete val="0"/>
        <c:axPos val="b"/>
        <c:numFmt formatCode="General" sourceLinked="1"/>
        <c:majorTickMark val="out"/>
        <c:minorTickMark val="none"/>
        <c:tickLblPos val="nextTo"/>
        <c:crossAx val="759529656"/>
        <c:crosses val="autoZero"/>
        <c:crossBetween val="midCat"/>
      </c:valAx>
      <c:valAx>
        <c:axId val="759529656"/>
        <c:scaling>
          <c:orientation val="minMax"/>
        </c:scaling>
        <c:delete val="0"/>
        <c:axPos val="l"/>
        <c:majorGridlines/>
        <c:numFmt formatCode="0.0" sourceLinked="0"/>
        <c:majorTickMark val="out"/>
        <c:minorTickMark val="none"/>
        <c:tickLblPos val="nextTo"/>
        <c:crossAx val="759526568"/>
        <c:crosses val="autoZero"/>
        <c:crossBetween val="midCat"/>
      </c:valAx>
    </c:plotArea>
    <c:plotVisOnly val="1"/>
    <c:dispBlanksAs val="gap"/>
    <c:showDLblsOverMax val="0"/>
  </c:chart>
  <c:printSettings>
    <c:headerFooter/>
    <c:pageMargins b="0.750000000000003" l="0.700000000000001" r="0.700000000000001" t="0.750000000000003" header="0.3" footer="0.3"/>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Post-retrofit ACH50 vs Conditioned Floor Area</a:t>
            </a:r>
            <a:r>
              <a:rPr lang="en-US" baseline="0"/>
              <a:t> -- w/o Arlington</a:t>
            </a:r>
            <a:endParaRPr lang="en-US"/>
          </a:p>
        </c:rich>
      </c:tx>
      <c:overlay val="0"/>
    </c:title>
    <c:autoTitleDeleted val="0"/>
    <c:plotArea>
      <c:layout/>
      <c:scatterChart>
        <c:scatterStyle val="lineMarker"/>
        <c:varyColors val="0"/>
        <c:ser>
          <c:idx val="0"/>
          <c:order val="0"/>
          <c:tx>
            <c:v>ACH50 vs Conditioned Floor Area</c:v>
          </c:tx>
          <c:spPr>
            <a:ln w="28575">
              <a:noFill/>
            </a:ln>
          </c:spPr>
          <c:trendline>
            <c:spPr>
              <a:ln w="25400">
                <a:solidFill>
                  <a:srgbClr val="FF0000"/>
                </a:solidFill>
                <a:prstDash val="dash"/>
              </a:ln>
            </c:spPr>
            <c:trendlineType val="linear"/>
            <c:dispRSqr val="0"/>
            <c:dispEq val="0"/>
          </c:trendline>
          <c:xVal>
            <c:numRef>
              <c:f>(Charts!$O$9:$O$13,Charts!$O$15:$O$21)</c:f>
              <c:numCache>
                <c:formatCode>General</c:formatCode>
                <c:ptCount val="12"/>
                <c:pt idx="0">
                  <c:v>1907.0</c:v>
                </c:pt>
                <c:pt idx="1">
                  <c:v>4768.0</c:v>
                </c:pt>
                <c:pt idx="2">
                  <c:v>1868.0</c:v>
                </c:pt>
                <c:pt idx="3">
                  <c:v>2368.0</c:v>
                </c:pt>
                <c:pt idx="4">
                  <c:v>4576.0</c:v>
                </c:pt>
                <c:pt idx="5">
                  <c:v>2199.0</c:v>
                </c:pt>
                <c:pt idx="6">
                  <c:v>3885.0</c:v>
                </c:pt>
                <c:pt idx="7">
                  <c:v>2747.0</c:v>
                </c:pt>
                <c:pt idx="8">
                  <c:v>1440.0</c:v>
                </c:pt>
                <c:pt idx="9">
                  <c:v>3174.0</c:v>
                </c:pt>
                <c:pt idx="10">
                  <c:v>3955.0</c:v>
                </c:pt>
                <c:pt idx="11">
                  <c:v>2424.0</c:v>
                </c:pt>
              </c:numCache>
            </c:numRef>
          </c:xVal>
          <c:yVal>
            <c:numRef>
              <c:f>(Charts!$W$9:$W$13,Charts!$W$15:$W$21)</c:f>
              <c:numCache>
                <c:formatCode>0.00</c:formatCode>
                <c:ptCount val="12"/>
                <c:pt idx="0">
                  <c:v>1.875500935078814</c:v>
                </c:pt>
                <c:pt idx="1">
                  <c:v>0.74204502578292</c:v>
                </c:pt>
                <c:pt idx="2">
                  <c:v>1.418823529411765</c:v>
                </c:pt>
                <c:pt idx="3">
                  <c:v>1.432683501242967</c:v>
                </c:pt>
                <c:pt idx="4">
                  <c:v>1.2579100863919</c:v>
                </c:pt>
                <c:pt idx="5">
                  <c:v>3.558254200146092</c:v>
                </c:pt>
                <c:pt idx="6">
                  <c:v>2.538862536983985</c:v>
                </c:pt>
                <c:pt idx="7">
                  <c:v>0.819662661737523</c:v>
                </c:pt>
                <c:pt idx="8">
                  <c:v>1.425097276264591</c:v>
                </c:pt>
                <c:pt idx="9">
                  <c:v>1.500744644289151</c:v>
                </c:pt>
                <c:pt idx="10">
                  <c:v>1.254637436762226</c:v>
                </c:pt>
                <c:pt idx="11">
                  <c:v>0.605540047240713</c:v>
                </c:pt>
              </c:numCache>
            </c:numRef>
          </c:yVal>
          <c:smooth val="0"/>
        </c:ser>
        <c:dLbls>
          <c:showLegendKey val="0"/>
          <c:showVal val="0"/>
          <c:showCatName val="0"/>
          <c:showSerName val="0"/>
          <c:showPercent val="0"/>
          <c:showBubbleSize val="0"/>
        </c:dLbls>
        <c:axId val="759113432"/>
        <c:axId val="759117768"/>
      </c:scatterChart>
      <c:valAx>
        <c:axId val="759113432"/>
        <c:scaling>
          <c:orientation val="minMax"/>
        </c:scaling>
        <c:delete val="0"/>
        <c:axPos val="b"/>
        <c:numFmt formatCode="General" sourceLinked="1"/>
        <c:majorTickMark val="out"/>
        <c:minorTickMark val="none"/>
        <c:tickLblPos val="nextTo"/>
        <c:crossAx val="759117768"/>
        <c:crosses val="autoZero"/>
        <c:crossBetween val="midCat"/>
      </c:valAx>
      <c:valAx>
        <c:axId val="759117768"/>
        <c:scaling>
          <c:orientation val="minMax"/>
        </c:scaling>
        <c:delete val="0"/>
        <c:axPos val="l"/>
        <c:majorGridlines/>
        <c:numFmt formatCode="0.00" sourceLinked="1"/>
        <c:majorTickMark val="out"/>
        <c:minorTickMark val="none"/>
        <c:tickLblPos val="nextTo"/>
        <c:crossAx val="759113432"/>
        <c:crosses val="autoZero"/>
        <c:crossBetween val="midCat"/>
      </c:valAx>
    </c:plotArea>
    <c:legend>
      <c:legendPos val="r"/>
      <c:overlay val="0"/>
    </c:legend>
    <c:plotVisOnly val="1"/>
    <c:dispBlanksAs val="gap"/>
    <c:showDLblsOverMax val="0"/>
  </c:chart>
  <c:printSettings>
    <c:headerFooter/>
    <c:pageMargins b="0.750000000000002" l="0.700000000000001" r="0.700000000000001" t="0.750000000000002"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0159789670961"/>
          <c:y val="0.0757883712811761"/>
          <c:w val="0.835023515461584"/>
          <c:h val="0.64516297531774"/>
        </c:manualLayout>
      </c:layout>
      <c:barChart>
        <c:barDir val="col"/>
        <c:grouping val="clustered"/>
        <c:varyColors val="0"/>
        <c:ser>
          <c:idx val="1"/>
          <c:order val="0"/>
          <c:tx>
            <c:v>Pre-retrofit CFM 50</c:v>
          </c:tx>
          <c:invertIfNegative val="0"/>
          <c:val>
            <c:numRef>
              <c:f>'Total CFM 50 Sort'!$T$9:$T$21</c:f>
              <c:numCache>
                <c:formatCode>General</c:formatCode>
                <c:ptCount val="13"/>
                <c:pt idx="0">
                  <c:v>9079.0</c:v>
                </c:pt>
                <c:pt idx="1">
                  <c:v>5700.0</c:v>
                </c:pt>
                <c:pt idx="2">
                  <c:v>2860.0</c:v>
                </c:pt>
                <c:pt idx="3">
                  <c:v>1695.0</c:v>
                </c:pt>
                <c:pt idx="4">
                  <c:v>5050.0</c:v>
                </c:pt>
                <c:pt idx="5">
                  <c:v>8730.0</c:v>
                </c:pt>
                <c:pt idx="6">
                  <c:v>3199.0</c:v>
                </c:pt>
                <c:pt idx="7">
                  <c:v>7729.0</c:v>
                </c:pt>
                <c:pt idx="8">
                  <c:v>6155.0</c:v>
                </c:pt>
                <c:pt idx="9">
                  <c:v>4254.0</c:v>
                </c:pt>
                <c:pt idx="10">
                  <c:v>1640.0</c:v>
                </c:pt>
                <c:pt idx="11">
                  <c:v>2592.0</c:v>
                </c:pt>
                <c:pt idx="12">
                  <c:v>2258.0</c:v>
                </c:pt>
              </c:numCache>
            </c:numRef>
          </c:val>
        </c:ser>
        <c:ser>
          <c:idx val="0"/>
          <c:order val="1"/>
          <c:tx>
            <c:v>Post-retrofit CFM 50</c:v>
          </c:tx>
          <c:invertIfNegative val="0"/>
          <c:cat>
            <c:strRef>
              <c:f>'Total CFM 50 Sort'!$D$9:$D$21</c:f>
              <c:strCache>
                <c:ptCount val="13"/>
                <c:pt idx="0">
                  <c:v>Belchertown</c:v>
                </c:pt>
                <c:pt idx="1">
                  <c:v>Belmont</c:v>
                </c:pt>
                <c:pt idx="2">
                  <c:v>Millbury</c:v>
                </c:pt>
                <c:pt idx="3">
                  <c:v>Milton</c:v>
                </c:pt>
                <c:pt idx="4">
                  <c:v>Quincy</c:v>
                </c:pt>
                <c:pt idx="5">
                  <c:v>Arlington</c:v>
                </c:pt>
                <c:pt idx="6">
                  <c:v>Newton</c:v>
                </c:pt>
                <c:pt idx="7">
                  <c:v>Jamaica Plain</c:v>
                </c:pt>
                <c:pt idx="8">
                  <c:v>Northampton</c:v>
                </c:pt>
                <c:pt idx="9">
                  <c:v>Lancaster</c:v>
                </c:pt>
                <c:pt idx="10">
                  <c:v>Brookline</c:v>
                </c:pt>
                <c:pt idx="11">
                  <c:v>Westford</c:v>
                </c:pt>
                <c:pt idx="12">
                  <c:v>Gloucester</c:v>
                </c:pt>
              </c:strCache>
            </c:strRef>
          </c:cat>
          <c:val>
            <c:numRef>
              <c:f>'Total CFM 50 Sort'!$U$9:$U$21</c:f>
              <c:numCache>
                <c:formatCode>General</c:formatCode>
                <c:ptCount val="13"/>
                <c:pt idx="0">
                  <c:v>468.0</c:v>
                </c:pt>
                <c:pt idx="1">
                  <c:v>590.0</c:v>
                </c:pt>
                <c:pt idx="2">
                  <c:v>402.0</c:v>
                </c:pt>
                <c:pt idx="3">
                  <c:v>584.0</c:v>
                </c:pt>
                <c:pt idx="4">
                  <c:v>762.0</c:v>
                </c:pt>
                <c:pt idx="5">
                  <c:v>3586.0</c:v>
                </c:pt>
                <c:pt idx="6">
                  <c:v>1299.0</c:v>
                </c:pt>
                <c:pt idx="7">
                  <c:v>1802.0</c:v>
                </c:pt>
                <c:pt idx="8">
                  <c:v>473.0</c:v>
                </c:pt>
                <c:pt idx="9">
                  <c:v>293.0</c:v>
                </c:pt>
                <c:pt idx="10">
                  <c:v>655.0</c:v>
                </c:pt>
                <c:pt idx="11">
                  <c:v>930.0</c:v>
                </c:pt>
                <c:pt idx="12">
                  <c:v>235.0</c:v>
                </c:pt>
              </c:numCache>
            </c:numRef>
          </c:val>
        </c:ser>
        <c:dLbls>
          <c:showLegendKey val="0"/>
          <c:showVal val="0"/>
          <c:showCatName val="0"/>
          <c:showSerName val="0"/>
          <c:showPercent val="0"/>
          <c:showBubbleSize val="0"/>
        </c:dLbls>
        <c:gapWidth val="150"/>
        <c:axId val="554646424"/>
        <c:axId val="554676600"/>
      </c:barChart>
      <c:catAx>
        <c:axId val="554646424"/>
        <c:scaling>
          <c:orientation val="minMax"/>
        </c:scaling>
        <c:delete val="0"/>
        <c:axPos val="b"/>
        <c:majorTickMark val="out"/>
        <c:minorTickMark val="none"/>
        <c:tickLblPos val="nextTo"/>
        <c:crossAx val="554676600"/>
        <c:crosses val="autoZero"/>
        <c:auto val="1"/>
        <c:lblAlgn val="ctr"/>
        <c:lblOffset val="100"/>
        <c:noMultiLvlLbl val="0"/>
      </c:catAx>
      <c:valAx>
        <c:axId val="554676600"/>
        <c:scaling>
          <c:orientation val="minMax"/>
        </c:scaling>
        <c:delete val="0"/>
        <c:axPos val="l"/>
        <c:majorGridlines/>
        <c:numFmt formatCode="General" sourceLinked="1"/>
        <c:majorTickMark val="out"/>
        <c:minorTickMark val="none"/>
        <c:tickLblPos val="nextTo"/>
        <c:crossAx val="554646424"/>
        <c:crosses val="autoZero"/>
        <c:crossBetween val="between"/>
      </c:valAx>
    </c:plotArea>
    <c:legend>
      <c:legendPos val="b"/>
      <c:overlay val="0"/>
    </c:legend>
    <c:plotVisOnly val="1"/>
    <c:dispBlanksAs val="gap"/>
    <c:showDLblsOverMax val="0"/>
  </c:chart>
  <c:printSettings>
    <c:headerFooter/>
    <c:pageMargins b="0.750000000000004" l="0.700000000000001" r="0.700000000000001" t="0.750000000000004" header="0.3" footer="0.3"/>
    <c:pageSetup/>
  </c:printSettings>
  <c:userShapes r:id="rId1"/>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4" Type="http://schemas.openxmlformats.org/officeDocument/2006/relationships/chart" Target="../charts/chart4.xml"/><Relationship Id="rId5" Type="http://schemas.openxmlformats.org/officeDocument/2006/relationships/chart" Target="../charts/chart5.xml"/><Relationship Id="rId6" Type="http://schemas.openxmlformats.org/officeDocument/2006/relationships/chart" Target="../charts/chart6.xml"/><Relationship Id="rId7" Type="http://schemas.openxmlformats.org/officeDocument/2006/relationships/chart" Target="../charts/chart7.xml"/><Relationship Id="rId8" Type="http://schemas.openxmlformats.org/officeDocument/2006/relationships/chart" Target="../charts/chart8.xml"/><Relationship Id="rId1" Type="http://schemas.openxmlformats.org/officeDocument/2006/relationships/chart" Target="../charts/chart1.xml"/><Relationship Id="rId2" Type="http://schemas.openxmlformats.org/officeDocument/2006/relationships/chart" Target="../charts/chart2.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0.xml"/><Relationship Id="rId2" Type="http://schemas.openxmlformats.org/officeDocument/2006/relationships/chart" Target="../charts/chart11.xml"/><Relationship Id="rId3" Type="http://schemas.openxmlformats.org/officeDocument/2006/relationships/chart" Target="../charts/chart12.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13.xml"/><Relationship Id="rId2" Type="http://schemas.openxmlformats.org/officeDocument/2006/relationships/chart" Target="../charts/chart14.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15.xml"/><Relationship Id="rId2" Type="http://schemas.openxmlformats.org/officeDocument/2006/relationships/chart" Target="../charts/chart16.xml"/></Relationships>
</file>

<file path=xl/drawings/_rels/drawing21.xml.rels><?xml version="1.0" encoding="UTF-8" standalone="yes"?>
<Relationships xmlns="http://schemas.openxmlformats.org/package/2006/relationships"><Relationship Id="rId1" Type="http://schemas.openxmlformats.org/officeDocument/2006/relationships/chart" Target="../charts/chart17.xml"/><Relationship Id="rId2" Type="http://schemas.openxmlformats.org/officeDocument/2006/relationships/chart" Target="../charts/chart18.xml"/></Relationships>
</file>

<file path=xl/drawings/_rels/drawing24.xml.rels><?xml version="1.0" encoding="UTF-8" standalone="yes"?>
<Relationships xmlns="http://schemas.openxmlformats.org/package/2006/relationships"><Relationship Id="rId3" Type="http://schemas.openxmlformats.org/officeDocument/2006/relationships/chart" Target="../charts/chart21.xml"/><Relationship Id="rId4" Type="http://schemas.openxmlformats.org/officeDocument/2006/relationships/chart" Target="../charts/chart22.xml"/><Relationship Id="rId5" Type="http://schemas.openxmlformats.org/officeDocument/2006/relationships/chart" Target="../charts/chart23.xml"/><Relationship Id="rId1" Type="http://schemas.openxmlformats.org/officeDocument/2006/relationships/chart" Target="../charts/chart19.xml"/><Relationship Id="rId2" Type="http://schemas.openxmlformats.org/officeDocument/2006/relationships/chart" Target="../charts/chart20.xml"/></Relationships>
</file>

<file path=xl/drawings/_rels/drawing9.xml.rels><?xml version="1.0" encoding="UTF-8" standalone="yes"?>
<Relationships xmlns="http://schemas.openxmlformats.org/package/2006/relationships"><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3</xdr:col>
      <xdr:colOff>742217</xdr:colOff>
      <xdr:row>36</xdr:row>
      <xdr:rowOff>0</xdr:rowOff>
    </xdr:from>
    <xdr:to>
      <xdr:col>12</xdr:col>
      <xdr:colOff>181841</xdr:colOff>
      <xdr:row>54</xdr:row>
      <xdr:rowOff>14654</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519480</xdr:colOff>
      <xdr:row>34</xdr:row>
      <xdr:rowOff>188871</xdr:rowOff>
    </xdr:from>
    <xdr:to>
      <xdr:col>24</xdr:col>
      <xdr:colOff>247489</xdr:colOff>
      <xdr:row>55</xdr:row>
      <xdr:rowOff>45996</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115743</xdr:colOff>
      <xdr:row>55</xdr:row>
      <xdr:rowOff>6927</xdr:rowOff>
    </xdr:from>
    <xdr:to>
      <xdr:col>10</xdr:col>
      <xdr:colOff>640484</xdr:colOff>
      <xdr:row>69</xdr:row>
      <xdr:rowOff>83127</xdr:rowOff>
    </xdr:to>
    <xdr:graphicFrame macro="">
      <xdr:nvGraphicFramePr>
        <xdr:cNvPr id="11" name="Chart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451138</xdr:colOff>
      <xdr:row>55</xdr:row>
      <xdr:rowOff>143743</xdr:rowOff>
    </xdr:from>
    <xdr:to>
      <xdr:col>19</xdr:col>
      <xdr:colOff>310860</xdr:colOff>
      <xdr:row>71</xdr:row>
      <xdr:rowOff>48493</xdr:rowOff>
    </xdr:to>
    <xdr:graphicFrame macro="">
      <xdr:nvGraphicFramePr>
        <xdr:cNvPr id="12" name="Chart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47625</xdr:colOff>
      <xdr:row>97</xdr:row>
      <xdr:rowOff>19050</xdr:rowOff>
    </xdr:from>
    <xdr:to>
      <xdr:col>10</xdr:col>
      <xdr:colOff>571500</xdr:colOff>
      <xdr:row>111</xdr:row>
      <xdr:rowOff>95250</xdr:rowOff>
    </xdr:to>
    <xdr:graphicFrame macro="">
      <xdr:nvGraphicFramePr>
        <xdr:cNvPr id="9" name="Chart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4</xdr:col>
      <xdr:colOff>174913</xdr:colOff>
      <xdr:row>72</xdr:row>
      <xdr:rowOff>3464</xdr:rowOff>
    </xdr:from>
    <xdr:to>
      <xdr:col>10</xdr:col>
      <xdr:colOff>684068</xdr:colOff>
      <xdr:row>86</xdr:row>
      <xdr:rowOff>79664</xdr:rowOff>
    </xdr:to>
    <xdr:graphicFrame macro="">
      <xdr:nvGraphicFramePr>
        <xdr:cNvPr id="10" name="Chart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11</xdr:col>
      <xdr:colOff>218210</xdr:colOff>
      <xdr:row>72</xdr:row>
      <xdr:rowOff>2599</xdr:rowOff>
    </xdr:from>
    <xdr:to>
      <xdr:col>18</xdr:col>
      <xdr:colOff>398319</xdr:colOff>
      <xdr:row>86</xdr:row>
      <xdr:rowOff>78799</xdr:rowOff>
    </xdr:to>
    <xdr:graphicFrame macro="">
      <xdr:nvGraphicFramePr>
        <xdr:cNvPr id="13" name="Chart 1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4</xdr:col>
      <xdr:colOff>66675</xdr:colOff>
      <xdr:row>113</xdr:row>
      <xdr:rowOff>28575</xdr:rowOff>
    </xdr:from>
    <xdr:to>
      <xdr:col>10</xdr:col>
      <xdr:colOff>590550</xdr:colOff>
      <xdr:row>127</xdr:row>
      <xdr:rowOff>104775</xdr:rowOff>
    </xdr:to>
    <xdr:graphicFrame macro="">
      <xdr:nvGraphicFramePr>
        <xdr:cNvPr id="14" name="Chart 1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0.01184</cdr:x>
      <cdr:y>0.01108</cdr:y>
    </cdr:from>
    <cdr:to>
      <cdr:x>0.05753</cdr:x>
      <cdr:y>0.2069</cdr:y>
    </cdr:to>
    <cdr:sp macro="" textlink="">
      <cdr:nvSpPr>
        <cdr:cNvPr id="2" name="TextBox 1"/>
        <cdr:cNvSpPr txBox="1"/>
      </cdr:nvSpPr>
      <cdr:spPr>
        <a:xfrm xmlns:a="http://schemas.openxmlformats.org/drawingml/2006/main" rot="16200000">
          <a:off x="-183355" y="292895"/>
          <a:ext cx="757241" cy="2571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000"/>
            <a:t>CFM</a:t>
          </a:r>
          <a:r>
            <a:rPr lang="en-US" sz="1000" baseline="0"/>
            <a:t> 50</a:t>
          </a:r>
          <a:endParaRPr lang="en-US" sz="1000"/>
        </a:p>
      </cdr:txBody>
    </cdr:sp>
  </cdr:relSizeAnchor>
</c:userShapes>
</file>

<file path=xl/drawings/drawing11.xml><?xml version="1.0" encoding="utf-8"?>
<xdr:wsDr xmlns:xdr="http://schemas.openxmlformats.org/drawingml/2006/spreadsheetDrawing" xmlns:a="http://schemas.openxmlformats.org/drawingml/2006/main">
  <xdr:twoCellAnchor>
    <xdr:from>
      <xdr:col>2</xdr:col>
      <xdr:colOff>342900</xdr:colOff>
      <xdr:row>33</xdr:row>
      <xdr:rowOff>171450</xdr:rowOff>
    </xdr:from>
    <xdr:to>
      <xdr:col>11</xdr:col>
      <xdr:colOff>323850</xdr:colOff>
      <xdr:row>54</xdr:row>
      <xdr:rowOff>38100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228600</xdr:colOff>
      <xdr:row>33</xdr:row>
      <xdr:rowOff>76200</xdr:rowOff>
    </xdr:from>
    <xdr:to>
      <xdr:col>22</xdr:col>
      <xdr:colOff>257175</xdr:colOff>
      <xdr:row>53</xdr:row>
      <xdr:rowOff>133350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23</xdr:col>
      <xdr:colOff>142875</xdr:colOff>
      <xdr:row>33</xdr:row>
      <xdr:rowOff>28575</xdr:rowOff>
    </xdr:from>
    <xdr:to>
      <xdr:col>33</xdr:col>
      <xdr:colOff>600075</xdr:colOff>
      <xdr:row>53</xdr:row>
      <xdr:rowOff>104775</xdr:rowOff>
    </xdr:to>
    <xdr:graphicFrame macro="">
      <xdr:nvGraphicFramePr>
        <xdr:cNvPr id="7" name="Chart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12.xml><?xml version="1.0" encoding="utf-8"?>
<c:userShapes xmlns:c="http://schemas.openxmlformats.org/drawingml/2006/chart">
  <cdr:relSizeAnchor xmlns:cdr="http://schemas.openxmlformats.org/drawingml/2006/chartDrawing">
    <cdr:from>
      <cdr:x>0.50291</cdr:x>
      <cdr:y>0.03941</cdr:y>
    </cdr:from>
    <cdr:to>
      <cdr:x>0.50463</cdr:x>
      <cdr:y>0.74384</cdr:y>
    </cdr:to>
    <cdr:sp macro="" textlink="">
      <cdr:nvSpPr>
        <cdr:cNvPr id="3" name="Straight Connector 2"/>
        <cdr:cNvSpPr/>
      </cdr:nvSpPr>
      <cdr:spPr>
        <a:xfrm xmlns:a="http://schemas.openxmlformats.org/drawingml/2006/main" flipH="1" flipV="1">
          <a:off x="3161571" y="152400"/>
          <a:ext cx="10774" cy="2724156"/>
        </a:xfrm>
        <a:prstGeom xmlns:a="http://schemas.openxmlformats.org/drawingml/2006/main" prst="line">
          <a:avLst/>
        </a:prstGeom>
        <a:ln xmlns:a="http://schemas.openxmlformats.org/drawingml/2006/main" w="25400">
          <a:solidFill>
            <a:srgbClr val="FF0000"/>
          </a:solidFill>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cdr:x>
      <cdr:y>0</cdr:y>
    </cdr:from>
    <cdr:to>
      <cdr:x>0</cdr:x>
      <cdr:y>0</cdr:y>
    </cdr:to>
    <cdr:sp macro="" textlink="">
      <cdr:nvSpPr>
        <cdr:cNvPr id="4" name="Straight Connector 3"/>
        <cdr:cNvSpPr/>
      </cdr:nvSpPr>
      <cdr:spPr>
        <a:xfrm xmlns:a="http://schemas.openxmlformats.org/drawingml/2006/main" flipH="1" flipV="1">
          <a:off x="-2781300" y="-10439400"/>
          <a:ext cx="0" cy="0"/>
        </a:xfrm>
        <a:prstGeom xmlns:a="http://schemas.openxmlformats.org/drawingml/2006/main" prst="line">
          <a:avLst/>
        </a:prstGeom>
        <a:ln xmlns:a="http://schemas.openxmlformats.org/drawingml/2006/main" w="25400">
          <a:solidFill>
            <a:srgbClr val="FF0000"/>
          </a:solidFill>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sz="1050"/>
        </a:p>
      </cdr:txBody>
    </cdr:sp>
  </cdr:relSizeAnchor>
  <cdr:relSizeAnchor xmlns:cdr="http://schemas.openxmlformats.org/drawingml/2006/chartDrawing">
    <cdr:from>
      <cdr:x>0.53788</cdr:x>
      <cdr:y>0.18719</cdr:y>
    </cdr:from>
    <cdr:to>
      <cdr:x>0.87727</cdr:x>
      <cdr:y>0.42857</cdr:y>
    </cdr:to>
    <cdr:sp macro="" textlink="">
      <cdr:nvSpPr>
        <cdr:cNvPr id="6" name="TextBox 5"/>
        <cdr:cNvSpPr txBox="1"/>
      </cdr:nvSpPr>
      <cdr:spPr>
        <a:xfrm xmlns:a="http://schemas.openxmlformats.org/drawingml/2006/main">
          <a:off x="3381376" y="723901"/>
          <a:ext cx="2133600" cy="9334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050">
              <a:solidFill>
                <a:srgbClr val="FF0000"/>
              </a:solidFill>
            </a:rPr>
            <a:t>Exterior air</a:t>
          </a:r>
          <a:r>
            <a:rPr lang="en-US" sz="1050" baseline="0">
              <a:solidFill>
                <a:srgbClr val="FF0000"/>
              </a:solidFill>
            </a:rPr>
            <a:t> control  on walls;  Interior air control on roof /attic</a:t>
          </a:r>
        </a:p>
        <a:p xmlns:a="http://schemas.openxmlformats.org/drawingml/2006/main">
          <a:r>
            <a:rPr lang="en-US" sz="1050" baseline="0">
              <a:solidFill>
                <a:schemeClr val="tx2"/>
              </a:solidFill>
            </a:rPr>
            <a:t>Mean: 1.63</a:t>
          </a:r>
        </a:p>
        <a:p xmlns:a="http://schemas.openxmlformats.org/drawingml/2006/main">
          <a:r>
            <a:rPr lang="en-US" sz="1050" baseline="0">
              <a:solidFill>
                <a:schemeClr val="tx2"/>
              </a:solidFill>
            </a:rPr>
            <a:t>Median: 1.43</a:t>
          </a:r>
          <a:endParaRPr lang="en-US" sz="1050">
            <a:solidFill>
              <a:schemeClr val="tx2"/>
            </a:solidFill>
          </a:endParaRPr>
        </a:p>
      </cdr:txBody>
    </cdr:sp>
  </cdr:relSizeAnchor>
  <cdr:relSizeAnchor xmlns:cdr="http://schemas.openxmlformats.org/drawingml/2006/chartDrawing">
    <cdr:from>
      <cdr:x>0.84545</cdr:x>
      <cdr:y>0.18966</cdr:y>
    </cdr:from>
    <cdr:to>
      <cdr:x>0.99545</cdr:x>
      <cdr:y>0.39163</cdr:y>
    </cdr:to>
    <cdr:sp macro="" textlink="">
      <cdr:nvSpPr>
        <cdr:cNvPr id="7" name="TextBox 6"/>
        <cdr:cNvSpPr txBox="1"/>
      </cdr:nvSpPr>
      <cdr:spPr>
        <a:xfrm xmlns:a="http://schemas.openxmlformats.org/drawingml/2006/main">
          <a:off x="5314921" y="733425"/>
          <a:ext cx="943004" cy="7810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050">
              <a:solidFill>
                <a:srgbClr val="FF0000"/>
              </a:solidFill>
            </a:rPr>
            <a:t>Interior  air control on roof and walls: </a:t>
          </a:r>
          <a:r>
            <a:rPr lang="en-US" sz="1050">
              <a:solidFill>
                <a:schemeClr val="tx2"/>
              </a:solidFill>
            </a:rPr>
            <a:t>1.88</a:t>
          </a:r>
        </a:p>
      </cdr:txBody>
    </cdr:sp>
  </cdr:relSizeAnchor>
  <cdr:relSizeAnchor xmlns:cdr="http://schemas.openxmlformats.org/drawingml/2006/chartDrawing">
    <cdr:from>
      <cdr:x>0.10758</cdr:x>
      <cdr:y>0.2734</cdr:y>
    </cdr:from>
    <cdr:to>
      <cdr:x>0.40303</cdr:x>
      <cdr:y>0.41872</cdr:y>
    </cdr:to>
    <cdr:sp macro="" textlink="">
      <cdr:nvSpPr>
        <cdr:cNvPr id="8" name="TextBox 7"/>
        <cdr:cNvSpPr txBox="1"/>
      </cdr:nvSpPr>
      <cdr:spPr>
        <a:xfrm xmlns:a="http://schemas.openxmlformats.org/drawingml/2006/main">
          <a:off x="676302" y="1057279"/>
          <a:ext cx="1857348" cy="56197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050">
            <a:solidFill>
              <a:srgbClr val="0070C0"/>
            </a:solidFill>
          </a:endParaRPr>
        </a:p>
      </cdr:txBody>
    </cdr:sp>
  </cdr:relSizeAnchor>
  <cdr:relSizeAnchor xmlns:cdr="http://schemas.openxmlformats.org/drawingml/2006/chartDrawing">
    <cdr:from>
      <cdr:x>0.00479</cdr:x>
      <cdr:y>0.01601</cdr:y>
    </cdr:from>
    <cdr:to>
      <cdr:x>0.04473</cdr:x>
      <cdr:y>0.22537</cdr:y>
    </cdr:to>
    <cdr:sp macro="" textlink="">
      <cdr:nvSpPr>
        <cdr:cNvPr id="11" name="TextBox 10"/>
        <cdr:cNvSpPr txBox="1"/>
      </cdr:nvSpPr>
      <cdr:spPr>
        <a:xfrm xmlns:a="http://schemas.openxmlformats.org/drawingml/2006/main" rot="16200000">
          <a:off x="-257173" y="347663"/>
          <a:ext cx="809625" cy="23812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000"/>
            <a:t>ACH50</a:t>
          </a:r>
        </a:p>
      </cdr:txBody>
    </cdr:sp>
  </cdr:relSizeAnchor>
  <cdr:relSizeAnchor xmlns:cdr="http://schemas.openxmlformats.org/drawingml/2006/chartDrawing">
    <cdr:from>
      <cdr:x>0.27879</cdr:x>
      <cdr:y>0.0197</cdr:y>
    </cdr:from>
    <cdr:to>
      <cdr:x>0.54394</cdr:x>
      <cdr:y>0.1798</cdr:y>
    </cdr:to>
    <cdr:sp macro="" textlink="">
      <cdr:nvSpPr>
        <cdr:cNvPr id="12" name="TextBox 11"/>
        <cdr:cNvSpPr txBox="1"/>
      </cdr:nvSpPr>
      <cdr:spPr>
        <a:xfrm xmlns:a="http://schemas.openxmlformats.org/drawingml/2006/main">
          <a:off x="1752599" y="76200"/>
          <a:ext cx="1666876" cy="6191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050">
              <a:solidFill>
                <a:srgbClr val="FF0000"/>
              </a:solidFill>
            </a:rPr>
            <a:t>Chainsaw air control</a:t>
          </a:r>
        </a:p>
        <a:p xmlns:a="http://schemas.openxmlformats.org/drawingml/2006/main">
          <a:r>
            <a:rPr lang="en-US" sz="1050">
              <a:solidFill>
                <a:schemeClr val="tx2"/>
              </a:solidFill>
            </a:rPr>
            <a:t>Mean: 1.40</a:t>
          </a:r>
        </a:p>
        <a:p xmlns:a="http://schemas.openxmlformats.org/drawingml/2006/main">
          <a:r>
            <a:rPr lang="en-US" sz="1050">
              <a:solidFill>
                <a:schemeClr val="tx2"/>
              </a:solidFill>
            </a:rPr>
            <a:t>Median: 1.04 </a:t>
          </a:r>
        </a:p>
      </cdr:txBody>
    </cdr:sp>
  </cdr:relSizeAnchor>
  <cdr:relSizeAnchor xmlns:cdr="http://schemas.openxmlformats.org/drawingml/2006/chartDrawing">
    <cdr:from>
      <cdr:x>0.50303</cdr:x>
      <cdr:y>0.02217</cdr:y>
    </cdr:from>
    <cdr:to>
      <cdr:x>0.79242</cdr:x>
      <cdr:y>0.18227</cdr:y>
    </cdr:to>
    <cdr:sp macro="" textlink="">
      <cdr:nvSpPr>
        <cdr:cNvPr id="13" name="TextBox 12"/>
        <cdr:cNvSpPr txBox="1"/>
      </cdr:nvSpPr>
      <cdr:spPr>
        <a:xfrm xmlns:a="http://schemas.openxmlformats.org/drawingml/2006/main">
          <a:off x="3162299" y="85724"/>
          <a:ext cx="1819275" cy="6191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050">
              <a:solidFill>
                <a:srgbClr val="FF0000"/>
              </a:solidFill>
            </a:rPr>
            <a:t>Non-chainsaw air control</a:t>
          </a:r>
        </a:p>
        <a:p xmlns:a="http://schemas.openxmlformats.org/drawingml/2006/main">
          <a:r>
            <a:rPr lang="en-US" sz="1050">
              <a:solidFill>
                <a:schemeClr val="tx2"/>
              </a:solidFill>
            </a:rPr>
            <a:t>Mean:</a:t>
          </a:r>
          <a:r>
            <a:rPr lang="en-US" sz="1050" baseline="0">
              <a:solidFill>
                <a:schemeClr val="tx2"/>
              </a:solidFill>
            </a:rPr>
            <a:t> 1.67</a:t>
          </a:r>
        </a:p>
        <a:p xmlns:a="http://schemas.openxmlformats.org/drawingml/2006/main">
          <a:r>
            <a:rPr lang="en-US" sz="1050" baseline="0">
              <a:solidFill>
                <a:schemeClr val="tx2"/>
              </a:solidFill>
            </a:rPr>
            <a:t>Median: 1.47</a:t>
          </a:r>
          <a:endParaRPr lang="en-US" sz="1050">
            <a:solidFill>
              <a:schemeClr val="tx2"/>
            </a:solidFill>
          </a:endParaRPr>
        </a:p>
      </cdr:txBody>
    </cdr:sp>
  </cdr:relSizeAnchor>
  <cdr:relSizeAnchor xmlns:cdr="http://schemas.openxmlformats.org/drawingml/2006/chartDrawing">
    <cdr:from>
      <cdr:x>0.84697</cdr:x>
      <cdr:y>0.28325</cdr:y>
    </cdr:from>
    <cdr:to>
      <cdr:x>0.84697</cdr:x>
      <cdr:y>0.74631</cdr:y>
    </cdr:to>
    <cdr:sp macro="" textlink="">
      <cdr:nvSpPr>
        <cdr:cNvPr id="15" name="Straight Connector 14"/>
        <cdr:cNvSpPr/>
      </cdr:nvSpPr>
      <cdr:spPr>
        <a:xfrm xmlns:a="http://schemas.openxmlformats.org/drawingml/2006/main" flipV="1">
          <a:off x="5324475" y="1095375"/>
          <a:ext cx="0" cy="1790700"/>
        </a:xfrm>
        <a:prstGeom xmlns:a="http://schemas.openxmlformats.org/drawingml/2006/main" prst="line">
          <a:avLst/>
        </a:prstGeom>
        <a:ln xmlns:a="http://schemas.openxmlformats.org/drawingml/2006/main" w="31750">
          <a:solidFill>
            <a:srgbClr val="FF0000"/>
          </a:solidFill>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userShapes>
</file>

<file path=xl/drawings/drawing13.xml><?xml version="1.0" encoding="utf-8"?>
<c:userShapes xmlns:c="http://schemas.openxmlformats.org/drawingml/2006/chart">
  <cdr:relSizeAnchor xmlns:cdr="http://schemas.openxmlformats.org/drawingml/2006/chartDrawing">
    <cdr:from>
      <cdr:x>0</cdr:x>
      <cdr:y>0</cdr:y>
    </cdr:from>
    <cdr:to>
      <cdr:x>0</cdr:x>
      <cdr:y>0</cdr:y>
    </cdr:to>
    <cdr:sp macro="" textlink="">
      <cdr:nvSpPr>
        <cdr:cNvPr id="4" name="Straight Connector 3"/>
        <cdr:cNvSpPr/>
      </cdr:nvSpPr>
      <cdr:spPr>
        <a:xfrm xmlns:a="http://schemas.openxmlformats.org/drawingml/2006/main" flipH="1" flipV="1">
          <a:off x="-2781300" y="-10439400"/>
          <a:ext cx="0" cy="0"/>
        </a:xfrm>
        <a:prstGeom xmlns:a="http://schemas.openxmlformats.org/drawingml/2006/main" prst="line">
          <a:avLst/>
        </a:prstGeom>
        <a:ln xmlns:a="http://schemas.openxmlformats.org/drawingml/2006/main" w="25400">
          <a:solidFill>
            <a:srgbClr val="FF0000"/>
          </a:solidFill>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sz="1050"/>
        </a:p>
      </cdr:txBody>
    </cdr:sp>
  </cdr:relSizeAnchor>
  <cdr:relSizeAnchor xmlns:cdr="http://schemas.openxmlformats.org/drawingml/2006/chartDrawing">
    <cdr:from>
      <cdr:x>0.48636</cdr:x>
      <cdr:y>0.30542</cdr:y>
    </cdr:from>
    <cdr:to>
      <cdr:x>0.82575</cdr:x>
      <cdr:y>0.51232</cdr:y>
    </cdr:to>
    <cdr:sp macro="" textlink="">
      <cdr:nvSpPr>
        <cdr:cNvPr id="6" name="TextBox 5"/>
        <cdr:cNvSpPr txBox="1"/>
      </cdr:nvSpPr>
      <cdr:spPr>
        <a:xfrm xmlns:a="http://schemas.openxmlformats.org/drawingml/2006/main">
          <a:off x="3057533" y="1181100"/>
          <a:ext cx="2133575" cy="80009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050">
              <a:solidFill>
                <a:srgbClr val="FF0000"/>
              </a:solidFill>
            </a:rPr>
            <a:t>Exterior air</a:t>
          </a:r>
          <a:r>
            <a:rPr lang="en-US" sz="1050" baseline="0">
              <a:solidFill>
                <a:srgbClr val="FF0000"/>
              </a:solidFill>
            </a:rPr>
            <a:t> control  on walls;  Interior air control on roof /attic</a:t>
          </a:r>
        </a:p>
        <a:p xmlns:a="http://schemas.openxmlformats.org/drawingml/2006/main">
          <a:r>
            <a:rPr lang="en-US" sz="1050" baseline="0">
              <a:solidFill>
                <a:schemeClr val="tx2"/>
              </a:solidFill>
            </a:rPr>
            <a:t>Mean w/o Arlington: 1.63</a:t>
          </a:r>
        </a:p>
        <a:p xmlns:a="http://schemas.openxmlformats.org/drawingml/2006/main">
          <a:r>
            <a:rPr lang="en-US" sz="1050" baseline="0">
              <a:solidFill>
                <a:schemeClr val="tx2"/>
              </a:solidFill>
            </a:rPr>
            <a:t>Median w/ Arlington: 1.47</a:t>
          </a:r>
          <a:endParaRPr lang="en-US" sz="1050">
            <a:solidFill>
              <a:schemeClr val="tx2"/>
            </a:solidFill>
          </a:endParaRPr>
        </a:p>
      </cdr:txBody>
    </cdr:sp>
  </cdr:relSizeAnchor>
  <cdr:relSizeAnchor xmlns:cdr="http://schemas.openxmlformats.org/drawingml/2006/chartDrawing">
    <cdr:from>
      <cdr:x>0.84545</cdr:x>
      <cdr:y>0.30542</cdr:y>
    </cdr:from>
    <cdr:to>
      <cdr:x>0.99545</cdr:x>
      <cdr:y>0.50985</cdr:y>
    </cdr:to>
    <cdr:sp macro="" textlink="">
      <cdr:nvSpPr>
        <cdr:cNvPr id="7" name="TextBox 6"/>
        <cdr:cNvSpPr txBox="1"/>
      </cdr:nvSpPr>
      <cdr:spPr>
        <a:xfrm xmlns:a="http://schemas.openxmlformats.org/drawingml/2006/main">
          <a:off x="5314921" y="1181100"/>
          <a:ext cx="942975" cy="7905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050">
              <a:solidFill>
                <a:srgbClr val="FF0000"/>
              </a:solidFill>
            </a:rPr>
            <a:t>Interior  air control on roof and walls: </a:t>
          </a:r>
          <a:r>
            <a:rPr lang="en-US" sz="1050">
              <a:solidFill>
                <a:schemeClr val="tx2"/>
              </a:solidFill>
            </a:rPr>
            <a:t>1.88</a:t>
          </a:r>
        </a:p>
      </cdr:txBody>
    </cdr:sp>
  </cdr:relSizeAnchor>
  <cdr:relSizeAnchor xmlns:cdr="http://schemas.openxmlformats.org/drawingml/2006/chartDrawing">
    <cdr:from>
      <cdr:x>0.10758</cdr:x>
      <cdr:y>0.2734</cdr:y>
    </cdr:from>
    <cdr:to>
      <cdr:x>0.40303</cdr:x>
      <cdr:y>0.41872</cdr:y>
    </cdr:to>
    <cdr:sp macro="" textlink="">
      <cdr:nvSpPr>
        <cdr:cNvPr id="8" name="TextBox 7"/>
        <cdr:cNvSpPr txBox="1"/>
      </cdr:nvSpPr>
      <cdr:spPr>
        <a:xfrm xmlns:a="http://schemas.openxmlformats.org/drawingml/2006/main">
          <a:off x="676302" y="1057279"/>
          <a:ext cx="1857348" cy="56197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050">
            <a:solidFill>
              <a:srgbClr val="0070C0"/>
            </a:solidFill>
          </a:endParaRPr>
        </a:p>
      </cdr:txBody>
    </cdr:sp>
  </cdr:relSizeAnchor>
  <cdr:relSizeAnchor xmlns:cdr="http://schemas.openxmlformats.org/drawingml/2006/chartDrawing">
    <cdr:from>
      <cdr:x>0.00479</cdr:x>
      <cdr:y>0.01601</cdr:y>
    </cdr:from>
    <cdr:to>
      <cdr:x>0.04473</cdr:x>
      <cdr:y>0.22537</cdr:y>
    </cdr:to>
    <cdr:sp macro="" textlink="">
      <cdr:nvSpPr>
        <cdr:cNvPr id="11" name="TextBox 10"/>
        <cdr:cNvSpPr txBox="1"/>
      </cdr:nvSpPr>
      <cdr:spPr>
        <a:xfrm xmlns:a="http://schemas.openxmlformats.org/drawingml/2006/main" rot="16200000">
          <a:off x="-257173" y="347663"/>
          <a:ext cx="809625" cy="23812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000"/>
            <a:t>ACH50</a:t>
          </a:r>
        </a:p>
      </cdr:txBody>
    </cdr:sp>
  </cdr:relSizeAnchor>
  <cdr:relSizeAnchor xmlns:cdr="http://schemas.openxmlformats.org/drawingml/2006/chartDrawing">
    <cdr:from>
      <cdr:x>0.24849</cdr:x>
      <cdr:y>0.01477</cdr:y>
    </cdr:from>
    <cdr:to>
      <cdr:x>0.51364</cdr:x>
      <cdr:y>0.17487</cdr:y>
    </cdr:to>
    <cdr:sp macro="" textlink="">
      <cdr:nvSpPr>
        <cdr:cNvPr id="12" name="TextBox 11"/>
        <cdr:cNvSpPr txBox="1"/>
      </cdr:nvSpPr>
      <cdr:spPr>
        <a:xfrm xmlns:a="http://schemas.openxmlformats.org/drawingml/2006/main">
          <a:off x="1562113" y="57133"/>
          <a:ext cx="1666866" cy="61913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100">
              <a:solidFill>
                <a:srgbClr val="FF0000"/>
              </a:solidFill>
            </a:rPr>
            <a:t>Chainsaw air control</a:t>
          </a:r>
        </a:p>
        <a:p xmlns:a="http://schemas.openxmlformats.org/drawingml/2006/main">
          <a:r>
            <a:rPr lang="en-US" sz="1050">
              <a:solidFill>
                <a:schemeClr val="tx2"/>
              </a:solidFill>
            </a:rPr>
            <a:t>Mean: 1.40</a:t>
          </a:r>
        </a:p>
        <a:p xmlns:a="http://schemas.openxmlformats.org/drawingml/2006/main">
          <a:r>
            <a:rPr lang="en-US" sz="1050">
              <a:solidFill>
                <a:schemeClr val="tx2"/>
              </a:solidFill>
            </a:rPr>
            <a:t>Median: 1.04 </a:t>
          </a:r>
        </a:p>
      </cdr:txBody>
    </cdr:sp>
  </cdr:relSizeAnchor>
  <cdr:relSizeAnchor xmlns:cdr="http://schemas.openxmlformats.org/drawingml/2006/chartDrawing">
    <cdr:from>
      <cdr:x>0.48485</cdr:x>
      <cdr:y>0.01724</cdr:y>
    </cdr:from>
    <cdr:to>
      <cdr:x>0.77424</cdr:x>
      <cdr:y>0.18473</cdr:y>
    </cdr:to>
    <cdr:sp macro="" textlink="">
      <cdr:nvSpPr>
        <cdr:cNvPr id="13" name="TextBox 12"/>
        <cdr:cNvSpPr txBox="1"/>
      </cdr:nvSpPr>
      <cdr:spPr>
        <a:xfrm xmlns:a="http://schemas.openxmlformats.org/drawingml/2006/main">
          <a:off x="3047998" y="66675"/>
          <a:ext cx="1819250" cy="64771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100">
              <a:solidFill>
                <a:srgbClr val="FF0000"/>
              </a:solidFill>
            </a:rPr>
            <a:t>Non-chainsaw air control</a:t>
          </a:r>
        </a:p>
        <a:p xmlns:a="http://schemas.openxmlformats.org/drawingml/2006/main">
          <a:r>
            <a:rPr lang="en-US" sz="1050">
              <a:solidFill>
                <a:schemeClr val="tx2"/>
              </a:solidFill>
            </a:rPr>
            <a:t>Mean w/o Arlington:</a:t>
          </a:r>
          <a:r>
            <a:rPr lang="en-US" sz="1050" baseline="0">
              <a:solidFill>
                <a:schemeClr val="tx2"/>
              </a:solidFill>
            </a:rPr>
            <a:t> 1.67</a:t>
          </a:r>
        </a:p>
        <a:p xmlns:a="http://schemas.openxmlformats.org/drawingml/2006/main">
          <a:r>
            <a:rPr lang="en-US" sz="1050" baseline="0">
              <a:solidFill>
                <a:schemeClr val="tx2"/>
              </a:solidFill>
            </a:rPr>
            <a:t>Median w/ Arlington: 1.50</a:t>
          </a:r>
          <a:endParaRPr lang="en-US" sz="1050">
            <a:solidFill>
              <a:schemeClr val="tx2"/>
            </a:solidFill>
          </a:endParaRPr>
        </a:p>
      </cdr:txBody>
    </cdr:sp>
  </cdr:relSizeAnchor>
  <cdr:relSizeAnchor xmlns:cdr="http://schemas.openxmlformats.org/drawingml/2006/chartDrawing">
    <cdr:from>
      <cdr:x>0.85152</cdr:x>
      <cdr:y>0.10591</cdr:y>
    </cdr:from>
    <cdr:to>
      <cdr:x>0.85152</cdr:x>
      <cdr:y>0.74631</cdr:y>
    </cdr:to>
    <cdr:sp macro="" textlink="">
      <cdr:nvSpPr>
        <cdr:cNvPr id="15" name="Straight Connector 14"/>
        <cdr:cNvSpPr/>
      </cdr:nvSpPr>
      <cdr:spPr>
        <a:xfrm xmlns:a="http://schemas.openxmlformats.org/drawingml/2006/main" flipH="1" flipV="1">
          <a:off x="5353050" y="409575"/>
          <a:ext cx="2" cy="2476518"/>
        </a:xfrm>
        <a:prstGeom xmlns:a="http://schemas.openxmlformats.org/drawingml/2006/main" prst="line">
          <a:avLst/>
        </a:prstGeom>
        <a:ln xmlns:a="http://schemas.openxmlformats.org/drawingml/2006/main" w="31750">
          <a:solidFill>
            <a:srgbClr val="FF0000"/>
          </a:solidFill>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0.41515</cdr:x>
      <cdr:y>0.42857</cdr:y>
    </cdr:from>
    <cdr:to>
      <cdr:x>0.46364</cdr:x>
      <cdr:y>0.75862</cdr:y>
    </cdr:to>
    <cdr:sp macro="" textlink="">
      <cdr:nvSpPr>
        <cdr:cNvPr id="14" name="Rectangle 13"/>
        <cdr:cNvSpPr/>
      </cdr:nvSpPr>
      <cdr:spPr>
        <a:xfrm xmlns:a="http://schemas.openxmlformats.org/drawingml/2006/main">
          <a:off x="2609850" y="1657350"/>
          <a:ext cx="304800" cy="1276350"/>
        </a:xfrm>
        <a:prstGeom xmlns:a="http://schemas.openxmlformats.org/drawingml/2006/main" prst="rect">
          <a:avLst/>
        </a:prstGeom>
        <a:noFill xmlns:a="http://schemas.openxmlformats.org/drawingml/2006/main"/>
        <a:ln xmlns:a="http://schemas.openxmlformats.org/drawingml/2006/main" w="28575">
          <a:solidFill>
            <a:schemeClr val="bg2">
              <a:lumMod val="25000"/>
            </a:schemeClr>
          </a:solidFill>
          <a:prstDash val="dash"/>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cdr:x>
      <cdr:y>0</cdr:y>
    </cdr:from>
    <cdr:to>
      <cdr:x>0</cdr:x>
      <cdr:y>0</cdr:y>
    </cdr:to>
    <cdr:sp macro="" textlink="">
      <cdr:nvSpPr>
        <cdr:cNvPr id="34" name="Straight Connector 33"/>
        <cdr:cNvSpPr/>
      </cdr:nvSpPr>
      <cdr:spPr>
        <a:xfrm xmlns:a="http://schemas.openxmlformats.org/drawingml/2006/main" flipV="1">
          <a:off x="-8553450" y="-10629900"/>
          <a:ext cx="0" cy="0"/>
        </a:xfrm>
        <a:prstGeom xmlns:a="http://schemas.openxmlformats.org/drawingml/2006/main" prst="line">
          <a:avLst/>
        </a:prstGeom>
        <a:ln xmlns:a="http://schemas.openxmlformats.org/drawingml/2006/main" w="31750">
          <a:solidFill>
            <a:srgbClr val="FF0000"/>
          </a:solidFill>
          <a:prstDash val="lg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0.47424</cdr:x>
      <cdr:y>0.00985</cdr:y>
    </cdr:from>
    <cdr:to>
      <cdr:x>0.47424</cdr:x>
      <cdr:y>0.74384</cdr:y>
    </cdr:to>
    <cdr:sp macro="" textlink="">
      <cdr:nvSpPr>
        <cdr:cNvPr id="36" name="Straight Connector 35"/>
        <cdr:cNvSpPr/>
      </cdr:nvSpPr>
      <cdr:spPr>
        <a:xfrm xmlns:a="http://schemas.openxmlformats.org/drawingml/2006/main" flipV="1">
          <a:off x="2981325" y="38100"/>
          <a:ext cx="0" cy="2838450"/>
        </a:xfrm>
        <a:prstGeom xmlns:a="http://schemas.openxmlformats.org/drawingml/2006/main" prst="line">
          <a:avLst/>
        </a:prstGeom>
        <a:ln xmlns:a="http://schemas.openxmlformats.org/drawingml/2006/main" w="31750">
          <a:solidFill>
            <a:srgbClr val="FF0000"/>
          </a:solidFill>
          <a:prstDash val="solid"/>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0.32727</cdr:x>
      <cdr:y>0.32266</cdr:y>
    </cdr:from>
    <cdr:to>
      <cdr:x>0.48182</cdr:x>
      <cdr:y>0.45567</cdr:y>
    </cdr:to>
    <cdr:sp macro="" textlink="">
      <cdr:nvSpPr>
        <cdr:cNvPr id="41" name="TextBox 40"/>
        <cdr:cNvSpPr txBox="1"/>
      </cdr:nvSpPr>
      <cdr:spPr>
        <a:xfrm xmlns:a="http://schemas.openxmlformats.org/drawingml/2006/main">
          <a:off x="2057401" y="1247775"/>
          <a:ext cx="971549" cy="5143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050"/>
            <a:t>Porch/deck</a:t>
          </a:r>
          <a:r>
            <a:rPr lang="en-US" sz="1050" baseline="0"/>
            <a:t> not detached</a:t>
          </a:r>
          <a:endParaRPr lang="en-US" sz="1050"/>
        </a:p>
      </cdr:txBody>
    </cdr:sp>
  </cdr:relSizeAnchor>
  <cdr:relSizeAnchor xmlns:cdr="http://schemas.openxmlformats.org/drawingml/2006/chartDrawing">
    <cdr:from>
      <cdr:x>0.66212</cdr:x>
      <cdr:y>0.1798</cdr:y>
    </cdr:from>
    <cdr:to>
      <cdr:x>0.82121</cdr:x>
      <cdr:y>0.29064</cdr:y>
    </cdr:to>
    <cdr:sp macro="" textlink="">
      <cdr:nvSpPr>
        <cdr:cNvPr id="42" name="TextBox 41"/>
        <cdr:cNvSpPr txBox="1"/>
      </cdr:nvSpPr>
      <cdr:spPr>
        <a:xfrm xmlns:a="http://schemas.openxmlformats.org/drawingml/2006/main">
          <a:off x="4162425" y="695324"/>
          <a:ext cx="1000125" cy="4286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050"/>
            <a:t>Porch/deck</a:t>
          </a:r>
          <a:r>
            <a:rPr lang="en-US" sz="1050" baseline="0"/>
            <a:t> not detached</a:t>
          </a:r>
          <a:endParaRPr lang="en-US" sz="1050"/>
        </a:p>
      </cdr:txBody>
    </cdr:sp>
  </cdr:relSizeAnchor>
  <cdr:relSizeAnchor xmlns:cdr="http://schemas.openxmlformats.org/drawingml/2006/chartDrawing">
    <cdr:from>
      <cdr:x>0.13939</cdr:x>
      <cdr:y>0.18965</cdr:y>
    </cdr:from>
    <cdr:to>
      <cdr:x>0.36515</cdr:x>
      <cdr:y>0.30542</cdr:y>
    </cdr:to>
    <cdr:sp macro="" textlink="">
      <cdr:nvSpPr>
        <cdr:cNvPr id="43" name="TextBox 42"/>
        <cdr:cNvSpPr txBox="1"/>
      </cdr:nvSpPr>
      <cdr:spPr>
        <a:xfrm xmlns:a="http://schemas.openxmlformats.org/drawingml/2006/main">
          <a:off x="876300" y="733424"/>
          <a:ext cx="1419225" cy="4476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050">
              <a:solidFill>
                <a:srgbClr val="FF0000"/>
              </a:solidFill>
            </a:rPr>
            <a:t>Exterior air control on roof and walls</a:t>
          </a:r>
        </a:p>
      </cdr:txBody>
    </cdr:sp>
  </cdr:relSizeAnchor>
  <cdr:relSizeAnchor xmlns:cdr="http://schemas.openxmlformats.org/drawingml/2006/chartDrawing">
    <cdr:from>
      <cdr:x>0.1303</cdr:x>
      <cdr:y>0.49015</cdr:y>
    </cdr:from>
    <cdr:to>
      <cdr:x>0.38939</cdr:x>
      <cdr:y>0.57389</cdr:y>
    </cdr:to>
    <cdr:sp macro="" textlink="">
      <cdr:nvSpPr>
        <cdr:cNvPr id="44" name="TextBox 43"/>
        <cdr:cNvSpPr txBox="1"/>
      </cdr:nvSpPr>
      <cdr:spPr>
        <a:xfrm xmlns:a="http://schemas.openxmlformats.org/drawingml/2006/main">
          <a:off x="819149" y="1895475"/>
          <a:ext cx="1628775" cy="3238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050">
              <a:solidFill>
                <a:schemeClr val="tx2"/>
              </a:solidFill>
            </a:rPr>
            <a:t>Mean w/o</a:t>
          </a:r>
          <a:r>
            <a:rPr lang="en-US" sz="1050" baseline="0">
              <a:solidFill>
                <a:schemeClr val="tx2"/>
              </a:solidFill>
            </a:rPr>
            <a:t> Newton: 0.97</a:t>
          </a:r>
          <a:endParaRPr lang="en-US" sz="1050">
            <a:solidFill>
              <a:schemeClr val="tx2"/>
            </a:solidFill>
          </a:endParaRPr>
        </a:p>
      </cdr:txBody>
    </cdr:sp>
  </cdr:relSizeAnchor>
  <cdr:relSizeAnchor xmlns:cdr="http://schemas.openxmlformats.org/drawingml/2006/chartDrawing">
    <cdr:from>
      <cdr:x>0.79848</cdr:x>
      <cdr:y>0.12315</cdr:y>
    </cdr:from>
    <cdr:to>
      <cdr:x>0.84242</cdr:x>
      <cdr:y>0.75616</cdr:y>
    </cdr:to>
    <cdr:sp macro="" textlink="">
      <cdr:nvSpPr>
        <cdr:cNvPr id="46" name="Rectangle 45"/>
        <cdr:cNvSpPr/>
      </cdr:nvSpPr>
      <cdr:spPr>
        <a:xfrm xmlns:a="http://schemas.openxmlformats.org/drawingml/2006/main">
          <a:off x="5019675" y="476250"/>
          <a:ext cx="276225" cy="2447925"/>
        </a:xfrm>
        <a:prstGeom xmlns:a="http://schemas.openxmlformats.org/drawingml/2006/main" prst="rect">
          <a:avLst/>
        </a:prstGeom>
        <a:noFill xmlns:a="http://schemas.openxmlformats.org/drawingml/2006/main"/>
        <a:ln xmlns:a="http://schemas.openxmlformats.org/drawingml/2006/main">
          <a:solidFill>
            <a:schemeClr val="tx1">
              <a:lumMod val="75000"/>
              <a:lumOff val="25000"/>
            </a:schemeClr>
          </a:solidFill>
          <a:prstDash val="dash"/>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0.73788</cdr:x>
      <cdr:y>0.5197</cdr:y>
    </cdr:from>
    <cdr:to>
      <cdr:x>0.77879</cdr:x>
      <cdr:y>0.76108</cdr:y>
    </cdr:to>
    <cdr:sp macro="" textlink="">
      <cdr:nvSpPr>
        <cdr:cNvPr id="19" name="Rectangle 18"/>
        <cdr:cNvSpPr/>
      </cdr:nvSpPr>
      <cdr:spPr>
        <a:xfrm xmlns:a="http://schemas.openxmlformats.org/drawingml/2006/main">
          <a:off x="4638675" y="2009775"/>
          <a:ext cx="257175" cy="933450"/>
        </a:xfrm>
        <a:prstGeom xmlns:a="http://schemas.openxmlformats.org/drawingml/2006/main" prst="rect">
          <a:avLst/>
        </a:prstGeom>
        <a:noFill xmlns:a="http://schemas.openxmlformats.org/drawingml/2006/main"/>
        <a:ln xmlns:a="http://schemas.openxmlformats.org/drawingml/2006/main">
          <a:solidFill>
            <a:schemeClr val="tx1">
              <a:lumMod val="75000"/>
              <a:lumOff val="25000"/>
            </a:schemeClr>
          </a:solidFill>
          <a:prstDash val="dash"/>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userShapes>
</file>

<file path=xl/drawings/drawing14.xml><?xml version="1.0" encoding="utf-8"?>
<c:userShapes xmlns:c="http://schemas.openxmlformats.org/drawingml/2006/chart">
  <cdr:relSizeAnchor xmlns:cdr="http://schemas.openxmlformats.org/drawingml/2006/chartDrawing">
    <cdr:from>
      <cdr:x>0.47948</cdr:x>
      <cdr:y>0.02206</cdr:y>
    </cdr:from>
    <cdr:to>
      <cdr:x>0.48148</cdr:x>
      <cdr:y>0.74297</cdr:y>
    </cdr:to>
    <cdr:sp macro="" textlink="">
      <cdr:nvSpPr>
        <cdr:cNvPr id="3" name="Straight Connector 2"/>
        <cdr:cNvSpPr/>
      </cdr:nvSpPr>
      <cdr:spPr>
        <a:xfrm xmlns:a="http://schemas.openxmlformats.org/drawingml/2006/main" flipV="1">
          <a:off x="3142152" y="85724"/>
          <a:ext cx="13072" cy="2801591"/>
        </a:xfrm>
        <a:prstGeom xmlns:a="http://schemas.openxmlformats.org/drawingml/2006/main" prst="line">
          <a:avLst/>
        </a:prstGeom>
        <a:ln xmlns:a="http://schemas.openxmlformats.org/drawingml/2006/main" w="31750">
          <a:solidFill>
            <a:schemeClr val="tx1">
              <a:lumMod val="75000"/>
              <a:lumOff val="25000"/>
            </a:schemeClr>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0.87573</cdr:x>
      <cdr:y>0.12884</cdr:y>
    </cdr:from>
    <cdr:to>
      <cdr:x>0.87573</cdr:x>
      <cdr:y>0.74265</cdr:y>
    </cdr:to>
    <cdr:sp macro="" textlink="">
      <cdr:nvSpPr>
        <cdr:cNvPr id="9" name="Straight Connector 8"/>
        <cdr:cNvSpPr/>
      </cdr:nvSpPr>
      <cdr:spPr>
        <a:xfrm xmlns:a="http://schemas.openxmlformats.org/drawingml/2006/main" flipV="1">
          <a:off x="5738830" y="500684"/>
          <a:ext cx="0" cy="2385391"/>
        </a:xfrm>
        <a:prstGeom xmlns:a="http://schemas.openxmlformats.org/drawingml/2006/main" prst="line">
          <a:avLst/>
        </a:prstGeom>
        <a:ln xmlns:a="http://schemas.openxmlformats.org/drawingml/2006/main" w="25400">
          <a:solidFill>
            <a:schemeClr val="tx1">
              <a:lumMod val="75000"/>
              <a:lumOff val="25000"/>
            </a:schemeClr>
          </a:solidFill>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0.29942</cdr:x>
      <cdr:y>0.03922</cdr:y>
    </cdr:from>
    <cdr:to>
      <cdr:x>0.52907</cdr:x>
      <cdr:y>0.24041</cdr:y>
    </cdr:to>
    <cdr:sp macro="" textlink="">
      <cdr:nvSpPr>
        <cdr:cNvPr id="10" name="TextBox 9"/>
        <cdr:cNvSpPr txBox="1"/>
      </cdr:nvSpPr>
      <cdr:spPr>
        <a:xfrm xmlns:a="http://schemas.openxmlformats.org/drawingml/2006/main">
          <a:off x="1962149" y="152400"/>
          <a:ext cx="1504951" cy="78187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200" b="1"/>
            <a:t>Chainsaw </a:t>
          </a:r>
        </a:p>
        <a:p xmlns:a="http://schemas.openxmlformats.org/drawingml/2006/main">
          <a:r>
            <a:rPr lang="en-US" sz="1050">
              <a:solidFill>
                <a:schemeClr val="tx1">
                  <a:lumMod val="85000"/>
                  <a:lumOff val="15000"/>
                </a:schemeClr>
              </a:solidFill>
            </a:rPr>
            <a:t>Mean: 1.40</a:t>
          </a:r>
        </a:p>
        <a:p xmlns:a="http://schemas.openxmlformats.org/drawingml/2006/main">
          <a:r>
            <a:rPr lang="en-US" sz="1050">
              <a:solidFill>
                <a:schemeClr val="tx1">
                  <a:lumMod val="85000"/>
                  <a:lumOff val="15000"/>
                </a:schemeClr>
              </a:solidFill>
            </a:rPr>
            <a:t>Median: 1.04</a:t>
          </a:r>
        </a:p>
      </cdr:txBody>
    </cdr:sp>
  </cdr:relSizeAnchor>
  <cdr:relSizeAnchor xmlns:cdr="http://schemas.openxmlformats.org/drawingml/2006/chartDrawing">
    <cdr:from>
      <cdr:x>0.50115</cdr:x>
      <cdr:y>0.03186</cdr:y>
    </cdr:from>
    <cdr:to>
      <cdr:x>0.82828</cdr:x>
      <cdr:y>0.25575</cdr:y>
    </cdr:to>
    <cdr:sp macro="" textlink="">
      <cdr:nvSpPr>
        <cdr:cNvPr id="11" name="TextBox 10"/>
        <cdr:cNvSpPr txBox="1"/>
      </cdr:nvSpPr>
      <cdr:spPr>
        <a:xfrm xmlns:a="http://schemas.openxmlformats.org/drawingml/2006/main">
          <a:off x="3284107" y="123825"/>
          <a:ext cx="2143797" cy="87008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200" b="1"/>
            <a:t>Non-chainsaw </a:t>
          </a:r>
        </a:p>
        <a:p xmlns:a="http://schemas.openxmlformats.org/drawingml/2006/main">
          <a:r>
            <a:rPr lang="en-US" sz="1050">
              <a:solidFill>
                <a:schemeClr val="tx1">
                  <a:lumMod val="75000"/>
                  <a:lumOff val="25000"/>
                </a:schemeClr>
              </a:solidFill>
            </a:rPr>
            <a:t>Mean w/o Arlington: 1.67</a:t>
          </a:r>
        </a:p>
        <a:p xmlns:a="http://schemas.openxmlformats.org/drawingml/2006/main">
          <a:r>
            <a:rPr lang="en-US" sz="1050">
              <a:solidFill>
                <a:schemeClr val="tx1">
                  <a:lumMod val="75000"/>
                  <a:lumOff val="25000"/>
                </a:schemeClr>
              </a:solidFill>
            </a:rPr>
            <a:t>Median</a:t>
          </a:r>
          <a:r>
            <a:rPr lang="en-US" sz="1050" baseline="0">
              <a:solidFill>
                <a:schemeClr val="tx1">
                  <a:lumMod val="75000"/>
                  <a:lumOff val="25000"/>
                </a:schemeClr>
              </a:solidFill>
            </a:rPr>
            <a:t> w/o Arliington: 1.47</a:t>
          </a:r>
          <a:endParaRPr lang="en-US" sz="1050">
            <a:solidFill>
              <a:schemeClr val="tx1">
                <a:lumMod val="75000"/>
                <a:lumOff val="25000"/>
              </a:schemeClr>
            </a:solidFill>
          </a:endParaRPr>
        </a:p>
      </cdr:txBody>
    </cdr:sp>
  </cdr:relSizeAnchor>
  <cdr:relSizeAnchor xmlns:cdr="http://schemas.openxmlformats.org/drawingml/2006/chartDrawing">
    <cdr:from>
      <cdr:x>0.00581</cdr:x>
      <cdr:y>0.09681</cdr:y>
    </cdr:from>
    <cdr:to>
      <cdr:x>0.06105</cdr:x>
      <cdr:y>0.27328</cdr:y>
    </cdr:to>
    <cdr:sp macro="" textlink="">
      <cdr:nvSpPr>
        <cdr:cNvPr id="12" name="TextBox 11"/>
        <cdr:cNvSpPr txBox="1"/>
      </cdr:nvSpPr>
      <cdr:spPr>
        <a:xfrm xmlns:a="http://schemas.openxmlformats.org/drawingml/2006/main" rot="16200000">
          <a:off x="-123824" y="538162"/>
          <a:ext cx="685800" cy="36195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050"/>
            <a:t>ACH50</a:t>
          </a:r>
        </a:p>
      </cdr:txBody>
    </cdr:sp>
  </cdr:relSizeAnchor>
  <cdr:relSizeAnchor xmlns:cdr="http://schemas.openxmlformats.org/drawingml/2006/chartDrawing">
    <cdr:from>
      <cdr:x>0.50145</cdr:x>
      <cdr:y>0.24265</cdr:y>
    </cdr:from>
    <cdr:to>
      <cdr:x>0.82413</cdr:x>
      <cdr:y>0.3652</cdr:y>
    </cdr:to>
    <cdr:sp macro="" textlink="">
      <cdr:nvSpPr>
        <cdr:cNvPr id="13" name="TextBox 12"/>
        <cdr:cNvSpPr txBox="1"/>
      </cdr:nvSpPr>
      <cdr:spPr>
        <a:xfrm xmlns:a="http://schemas.openxmlformats.org/drawingml/2006/main">
          <a:off x="3286126" y="942975"/>
          <a:ext cx="2114550" cy="476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050" b="0" i="0" baseline="0"/>
            <a:t>Exterior air control on walls;</a:t>
          </a:r>
        </a:p>
        <a:p xmlns:a="http://schemas.openxmlformats.org/drawingml/2006/main">
          <a:r>
            <a:rPr lang="en-US" sz="1050" b="0" i="0" baseline="0"/>
            <a:t>Interior air control on roof/attic</a:t>
          </a:r>
        </a:p>
      </cdr:txBody>
    </cdr:sp>
  </cdr:relSizeAnchor>
  <cdr:relSizeAnchor xmlns:cdr="http://schemas.openxmlformats.org/drawingml/2006/chartDrawing">
    <cdr:from>
      <cdr:x>0.15262</cdr:x>
      <cdr:y>0.49755</cdr:y>
    </cdr:from>
    <cdr:to>
      <cdr:x>0.40698</cdr:x>
      <cdr:y>0.57598</cdr:y>
    </cdr:to>
    <cdr:sp macro="" textlink="">
      <cdr:nvSpPr>
        <cdr:cNvPr id="14" name="TextBox 13"/>
        <cdr:cNvSpPr txBox="1"/>
      </cdr:nvSpPr>
      <cdr:spPr>
        <a:xfrm xmlns:a="http://schemas.openxmlformats.org/drawingml/2006/main">
          <a:off x="1000125" y="1933575"/>
          <a:ext cx="1666875" cy="3048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050">
              <a:solidFill>
                <a:schemeClr val="tx1">
                  <a:lumMod val="85000"/>
                  <a:lumOff val="15000"/>
                </a:schemeClr>
              </a:solidFill>
            </a:rPr>
            <a:t>Mean w/o Newton: 0.97</a:t>
          </a:r>
        </a:p>
      </cdr:txBody>
    </cdr:sp>
  </cdr:relSizeAnchor>
  <cdr:relSizeAnchor xmlns:cdr="http://schemas.openxmlformats.org/drawingml/2006/chartDrawing">
    <cdr:from>
      <cdr:x>0.17151</cdr:x>
      <cdr:y>0.24755</cdr:y>
    </cdr:from>
    <cdr:to>
      <cdr:x>0.41715</cdr:x>
      <cdr:y>0.38235</cdr:y>
    </cdr:to>
    <cdr:sp macro="" textlink="">
      <cdr:nvSpPr>
        <cdr:cNvPr id="15" name="TextBox 14"/>
        <cdr:cNvSpPr txBox="1"/>
      </cdr:nvSpPr>
      <cdr:spPr>
        <a:xfrm xmlns:a="http://schemas.openxmlformats.org/drawingml/2006/main">
          <a:off x="1123950" y="962025"/>
          <a:ext cx="1609725" cy="5238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050" b="0"/>
            <a:t>Exterior air control on roof</a:t>
          </a:r>
          <a:r>
            <a:rPr lang="en-US" sz="1050" b="0" baseline="0"/>
            <a:t> and walls</a:t>
          </a:r>
          <a:endParaRPr lang="en-US" sz="1050" b="0"/>
        </a:p>
      </cdr:txBody>
    </cdr:sp>
  </cdr:relSizeAnchor>
  <cdr:relSizeAnchor xmlns:cdr="http://schemas.openxmlformats.org/drawingml/2006/chartDrawing">
    <cdr:from>
      <cdr:x>0.87209</cdr:x>
      <cdr:y>0.2402</cdr:y>
    </cdr:from>
    <cdr:to>
      <cdr:x>0.99709</cdr:x>
      <cdr:y>0.50735</cdr:y>
    </cdr:to>
    <cdr:sp macro="" textlink="">
      <cdr:nvSpPr>
        <cdr:cNvPr id="16" name="TextBox 15"/>
        <cdr:cNvSpPr txBox="1"/>
      </cdr:nvSpPr>
      <cdr:spPr>
        <a:xfrm xmlns:a="http://schemas.openxmlformats.org/drawingml/2006/main">
          <a:off x="5715000" y="933450"/>
          <a:ext cx="819149" cy="10382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050" b="0"/>
            <a:t>Interior air control on roof and walls:</a:t>
          </a:r>
          <a:r>
            <a:rPr lang="en-US" sz="1050"/>
            <a:t> 1.88</a:t>
          </a:r>
        </a:p>
      </cdr:txBody>
    </cdr:sp>
  </cdr:relSizeAnchor>
  <cdr:relSizeAnchor xmlns:cdr="http://schemas.openxmlformats.org/drawingml/2006/chartDrawing">
    <cdr:from>
      <cdr:x>0.50145</cdr:x>
      <cdr:y>0.3652</cdr:y>
    </cdr:from>
    <cdr:to>
      <cdr:x>0.77035</cdr:x>
      <cdr:y>0.51961</cdr:y>
    </cdr:to>
    <cdr:sp macro="" textlink="">
      <cdr:nvSpPr>
        <cdr:cNvPr id="17" name="TextBox 16"/>
        <cdr:cNvSpPr txBox="1"/>
      </cdr:nvSpPr>
      <cdr:spPr>
        <a:xfrm xmlns:a="http://schemas.openxmlformats.org/drawingml/2006/main">
          <a:off x="3286125" y="1419225"/>
          <a:ext cx="1762126"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050">
              <a:solidFill>
                <a:schemeClr val="tx1">
                  <a:lumMod val="85000"/>
                  <a:lumOff val="15000"/>
                </a:schemeClr>
              </a:solidFill>
            </a:rPr>
            <a:t>Mean w/o Arlington:</a:t>
          </a:r>
          <a:r>
            <a:rPr lang="en-US" sz="1050" baseline="0">
              <a:solidFill>
                <a:schemeClr val="tx1">
                  <a:lumMod val="85000"/>
                  <a:lumOff val="15000"/>
                </a:schemeClr>
              </a:solidFill>
            </a:rPr>
            <a:t> 1.63</a:t>
          </a:r>
        </a:p>
        <a:p xmlns:a="http://schemas.openxmlformats.org/drawingml/2006/main">
          <a:r>
            <a:rPr lang="en-US" sz="1050" baseline="0">
              <a:solidFill>
                <a:schemeClr val="tx1">
                  <a:lumMod val="85000"/>
                  <a:lumOff val="15000"/>
                </a:schemeClr>
              </a:solidFill>
            </a:rPr>
            <a:t>Median w/o Arlington: 1.43</a:t>
          </a:r>
        </a:p>
        <a:p xmlns:a="http://schemas.openxmlformats.org/drawingml/2006/main">
          <a:endParaRPr lang="en-US" sz="1050" baseline="0">
            <a:solidFill>
              <a:schemeClr val="tx1">
                <a:lumMod val="85000"/>
                <a:lumOff val="15000"/>
              </a:schemeClr>
            </a:solidFill>
          </a:endParaRPr>
        </a:p>
      </cdr:txBody>
    </cdr:sp>
  </cdr:relSizeAnchor>
  <cdr:relSizeAnchor xmlns:cdr="http://schemas.openxmlformats.org/drawingml/2006/chartDrawing">
    <cdr:from>
      <cdr:x>0.50291</cdr:x>
      <cdr:y>0.48774</cdr:y>
    </cdr:from>
    <cdr:to>
      <cdr:x>0.74128</cdr:x>
      <cdr:y>0.61765</cdr:y>
    </cdr:to>
    <cdr:sp macro="" textlink="">
      <cdr:nvSpPr>
        <cdr:cNvPr id="18" name="TextBox 17"/>
        <cdr:cNvSpPr txBox="1"/>
      </cdr:nvSpPr>
      <cdr:spPr>
        <a:xfrm xmlns:a="http://schemas.openxmlformats.org/drawingml/2006/main">
          <a:off x="3295651" y="1895474"/>
          <a:ext cx="1562100" cy="5048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050"/>
            <a:t>Mean w/o</a:t>
          </a:r>
          <a:r>
            <a:rPr lang="en-US" sz="1050" baseline="0"/>
            <a:t> Arlington and w/o Jamaica Plain: 1.40</a:t>
          </a:r>
          <a:endParaRPr lang="en-US" sz="1050"/>
        </a:p>
      </cdr:txBody>
    </cdr:sp>
  </cdr:relSizeAnchor>
</c:userShapes>
</file>

<file path=xl/drawings/drawing15.xml><?xml version="1.0" encoding="utf-8"?>
<xdr:wsDr xmlns:xdr="http://schemas.openxmlformats.org/drawingml/2006/spreadsheetDrawing" xmlns:a="http://schemas.openxmlformats.org/drawingml/2006/main">
  <xdr:twoCellAnchor>
    <xdr:from>
      <xdr:col>3</xdr:col>
      <xdr:colOff>771525</xdr:colOff>
      <xdr:row>35</xdr:row>
      <xdr:rowOff>19050</xdr:rowOff>
    </xdr:from>
    <xdr:to>
      <xdr:col>12</xdr:col>
      <xdr:colOff>400050</xdr:colOff>
      <xdr:row>55</xdr:row>
      <xdr:rowOff>76200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323850</xdr:colOff>
      <xdr:row>35</xdr:row>
      <xdr:rowOff>19050</xdr:rowOff>
    </xdr:from>
    <xdr:to>
      <xdr:col>25</xdr:col>
      <xdr:colOff>571500</xdr:colOff>
      <xdr:row>55</xdr:row>
      <xdr:rowOff>133350</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6.xml><?xml version="1.0" encoding="utf-8"?>
<c:userShapes xmlns:c="http://schemas.openxmlformats.org/drawingml/2006/chart">
  <cdr:relSizeAnchor xmlns:cdr="http://schemas.openxmlformats.org/drawingml/2006/chartDrawing">
    <cdr:from>
      <cdr:x>0.73642</cdr:x>
      <cdr:y>0.07882</cdr:y>
    </cdr:from>
    <cdr:to>
      <cdr:x>0.73802</cdr:x>
      <cdr:y>0.74138</cdr:y>
    </cdr:to>
    <cdr:sp macro="" textlink="">
      <cdr:nvSpPr>
        <cdr:cNvPr id="3" name="Straight Connector 2"/>
        <cdr:cNvSpPr/>
      </cdr:nvSpPr>
      <cdr:spPr>
        <a:xfrm xmlns:a="http://schemas.openxmlformats.org/drawingml/2006/main" flipH="1" flipV="1">
          <a:off x="4391041" y="304794"/>
          <a:ext cx="9540" cy="2562219"/>
        </a:xfrm>
        <a:prstGeom xmlns:a="http://schemas.openxmlformats.org/drawingml/2006/main" prst="line">
          <a:avLst/>
        </a:prstGeom>
        <a:ln xmlns:a="http://schemas.openxmlformats.org/drawingml/2006/main" w="25400">
          <a:solidFill>
            <a:srgbClr val="FF0000"/>
          </a:solidFill>
          <a:prstDash val="lg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0.30831</cdr:x>
      <cdr:y>0.07882</cdr:y>
    </cdr:from>
    <cdr:to>
      <cdr:x>0.3099</cdr:x>
      <cdr:y>0.74138</cdr:y>
    </cdr:to>
    <cdr:sp macro="" textlink="">
      <cdr:nvSpPr>
        <cdr:cNvPr id="4" name="Straight Connector 3"/>
        <cdr:cNvSpPr/>
      </cdr:nvSpPr>
      <cdr:spPr>
        <a:xfrm xmlns:a="http://schemas.openxmlformats.org/drawingml/2006/main" flipH="1" flipV="1">
          <a:off x="1838347" y="304806"/>
          <a:ext cx="9481" cy="2562218"/>
        </a:xfrm>
        <a:prstGeom xmlns:a="http://schemas.openxmlformats.org/drawingml/2006/main" prst="line">
          <a:avLst/>
        </a:prstGeom>
        <a:ln xmlns:a="http://schemas.openxmlformats.org/drawingml/2006/main" w="25400">
          <a:solidFill>
            <a:srgbClr val="FF0000"/>
          </a:solidFill>
          <a:prstDash val="lg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0.12939</cdr:x>
      <cdr:y>0.14778</cdr:y>
    </cdr:from>
    <cdr:to>
      <cdr:x>0.34824</cdr:x>
      <cdr:y>0.50739</cdr:y>
    </cdr:to>
    <cdr:sp macro="" textlink="">
      <cdr:nvSpPr>
        <cdr:cNvPr id="8" name="TextBox 7"/>
        <cdr:cNvSpPr txBox="1"/>
      </cdr:nvSpPr>
      <cdr:spPr>
        <a:xfrm xmlns:a="http://schemas.openxmlformats.org/drawingml/2006/main">
          <a:off x="771525" y="571500"/>
          <a:ext cx="1304925" cy="139065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050">
              <a:solidFill>
                <a:srgbClr val="FF0000"/>
              </a:solidFill>
            </a:rPr>
            <a:t>Spray foam insulation in roof and walls</a:t>
          </a:r>
        </a:p>
        <a:p xmlns:a="http://schemas.openxmlformats.org/drawingml/2006/main">
          <a:r>
            <a:rPr lang="en-US" sz="1050">
              <a:solidFill>
                <a:schemeClr val="tx2"/>
              </a:solidFill>
            </a:rPr>
            <a:t>Mean: 1.52</a:t>
          </a:r>
        </a:p>
        <a:p xmlns:a="http://schemas.openxmlformats.org/drawingml/2006/main">
          <a:r>
            <a:rPr lang="en-US" sz="1050">
              <a:solidFill>
                <a:schemeClr val="tx2"/>
              </a:solidFill>
            </a:rPr>
            <a:t>Median: 1.43</a:t>
          </a:r>
          <a:r>
            <a:rPr lang="en-US" sz="1050">
              <a:solidFill>
                <a:srgbClr val="0070C0"/>
              </a:solidFill>
            </a:rPr>
            <a:t>	</a:t>
          </a:r>
        </a:p>
      </cdr:txBody>
    </cdr:sp>
  </cdr:relSizeAnchor>
  <cdr:relSizeAnchor xmlns:cdr="http://schemas.openxmlformats.org/drawingml/2006/chartDrawing">
    <cdr:from>
      <cdr:x>0.36422</cdr:x>
      <cdr:y>0.14778</cdr:y>
    </cdr:from>
    <cdr:to>
      <cdr:x>0.69649</cdr:x>
      <cdr:y>0.54187</cdr:y>
    </cdr:to>
    <cdr:sp macro="" textlink="">
      <cdr:nvSpPr>
        <cdr:cNvPr id="9" name="TextBox 8"/>
        <cdr:cNvSpPr txBox="1"/>
      </cdr:nvSpPr>
      <cdr:spPr>
        <a:xfrm xmlns:a="http://schemas.openxmlformats.org/drawingml/2006/main">
          <a:off x="2171701" y="571500"/>
          <a:ext cx="1981200" cy="152400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050">
              <a:solidFill>
                <a:srgbClr val="FF0000"/>
              </a:solidFill>
            </a:rPr>
            <a:t>Spray foam insulation</a:t>
          </a:r>
          <a:r>
            <a:rPr lang="en-US" sz="1050" baseline="0">
              <a:solidFill>
                <a:srgbClr val="FF0000"/>
              </a:solidFill>
            </a:rPr>
            <a:t> in roof only</a:t>
          </a:r>
        </a:p>
        <a:p xmlns:a="http://schemas.openxmlformats.org/drawingml/2006/main">
          <a:r>
            <a:rPr lang="en-US" sz="1050">
              <a:solidFill>
                <a:schemeClr val="tx2"/>
              </a:solidFill>
            </a:rPr>
            <a:t>Mean</a:t>
          </a:r>
          <a:r>
            <a:rPr lang="en-US" sz="1050" baseline="0">
              <a:solidFill>
                <a:schemeClr val="tx2"/>
              </a:solidFill>
            </a:rPr>
            <a:t> w/o Arlington: 1.95 </a:t>
          </a:r>
        </a:p>
        <a:p xmlns:a="http://schemas.openxmlformats.org/drawingml/2006/main">
          <a:r>
            <a:rPr lang="en-US" sz="1050" baseline="0">
              <a:solidFill>
                <a:schemeClr val="tx2"/>
              </a:solidFill>
            </a:rPr>
            <a:t>Median w/ Arlington: 1.50 </a:t>
          </a:r>
        </a:p>
        <a:p xmlns:a="http://schemas.openxmlformats.org/drawingml/2006/main">
          <a:endParaRPr lang="en-US" sz="1050">
            <a:solidFill>
              <a:srgbClr val="0070C0"/>
            </a:solidFill>
          </a:endParaRPr>
        </a:p>
      </cdr:txBody>
    </cdr:sp>
  </cdr:relSizeAnchor>
  <cdr:relSizeAnchor xmlns:cdr="http://schemas.openxmlformats.org/drawingml/2006/chartDrawing">
    <cdr:from>
      <cdr:x>0.73642</cdr:x>
      <cdr:y>0.14532</cdr:y>
    </cdr:from>
    <cdr:to>
      <cdr:x>0.99521</cdr:x>
      <cdr:y>0.41379</cdr:y>
    </cdr:to>
    <cdr:sp macro="" textlink="">
      <cdr:nvSpPr>
        <cdr:cNvPr id="10" name="TextBox 9"/>
        <cdr:cNvSpPr txBox="1"/>
      </cdr:nvSpPr>
      <cdr:spPr>
        <a:xfrm xmlns:a="http://schemas.openxmlformats.org/drawingml/2006/main">
          <a:off x="4391025" y="561975"/>
          <a:ext cx="1543050" cy="103821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050">
              <a:solidFill>
                <a:srgbClr val="FF0000"/>
              </a:solidFill>
            </a:rPr>
            <a:t>No spray</a:t>
          </a:r>
          <a:r>
            <a:rPr lang="en-US" sz="1050" baseline="0">
              <a:solidFill>
                <a:srgbClr val="FF0000"/>
              </a:solidFill>
            </a:rPr>
            <a:t> foam insulation in roof or walls </a:t>
          </a:r>
        </a:p>
        <a:p xmlns:a="http://schemas.openxmlformats.org/drawingml/2006/main">
          <a:r>
            <a:rPr lang="en-US" sz="1050">
              <a:solidFill>
                <a:schemeClr val="tx2"/>
              </a:solidFill>
            </a:rPr>
            <a:t>Mean</a:t>
          </a:r>
          <a:r>
            <a:rPr lang="en-US" sz="1050" baseline="0">
              <a:solidFill>
                <a:schemeClr val="tx2"/>
              </a:solidFill>
            </a:rPr>
            <a:t>: 0.72</a:t>
          </a:r>
        </a:p>
        <a:p xmlns:a="http://schemas.openxmlformats.org/drawingml/2006/main">
          <a:r>
            <a:rPr lang="en-US" sz="1050" baseline="0">
              <a:solidFill>
                <a:schemeClr val="tx2"/>
              </a:solidFill>
            </a:rPr>
            <a:t>Median: 0.74</a:t>
          </a:r>
        </a:p>
        <a:p xmlns:a="http://schemas.openxmlformats.org/drawingml/2006/main">
          <a:endParaRPr lang="en-US" sz="1050" baseline="0">
            <a:solidFill>
              <a:srgbClr val="0070C0"/>
            </a:solidFill>
          </a:endParaRPr>
        </a:p>
      </cdr:txBody>
    </cdr:sp>
  </cdr:relSizeAnchor>
  <cdr:relSizeAnchor xmlns:cdr="http://schemas.openxmlformats.org/drawingml/2006/chartDrawing">
    <cdr:from>
      <cdr:x>0.02236</cdr:x>
      <cdr:y>0.00246</cdr:y>
    </cdr:from>
    <cdr:to>
      <cdr:x>0.06709</cdr:x>
      <cdr:y>0.19951</cdr:y>
    </cdr:to>
    <cdr:sp macro="" textlink="">
      <cdr:nvSpPr>
        <cdr:cNvPr id="11" name="TextBox 10"/>
        <cdr:cNvSpPr txBox="1"/>
      </cdr:nvSpPr>
      <cdr:spPr>
        <a:xfrm xmlns:a="http://schemas.openxmlformats.org/drawingml/2006/main" rot="16200000">
          <a:off x="-114301" y="257176"/>
          <a:ext cx="762004" cy="2667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000"/>
            <a:t>ACH50</a:t>
          </a:r>
        </a:p>
      </cdr:txBody>
    </cdr:sp>
  </cdr:relSizeAnchor>
</c:userShapes>
</file>

<file path=xl/drawings/drawing17.xml><?xml version="1.0" encoding="utf-8"?>
<c:userShapes xmlns:c="http://schemas.openxmlformats.org/drawingml/2006/chart">
  <cdr:relSizeAnchor xmlns:cdr="http://schemas.openxmlformats.org/drawingml/2006/chartDrawing">
    <cdr:from>
      <cdr:x>0.73642</cdr:x>
      <cdr:y>0.07882</cdr:y>
    </cdr:from>
    <cdr:to>
      <cdr:x>0.73802</cdr:x>
      <cdr:y>0.74138</cdr:y>
    </cdr:to>
    <cdr:sp macro="" textlink="">
      <cdr:nvSpPr>
        <cdr:cNvPr id="3" name="Straight Connector 2"/>
        <cdr:cNvSpPr/>
      </cdr:nvSpPr>
      <cdr:spPr>
        <a:xfrm xmlns:a="http://schemas.openxmlformats.org/drawingml/2006/main" flipH="1" flipV="1">
          <a:off x="4391041" y="304794"/>
          <a:ext cx="9540" cy="2562219"/>
        </a:xfrm>
        <a:prstGeom xmlns:a="http://schemas.openxmlformats.org/drawingml/2006/main" prst="line">
          <a:avLst/>
        </a:prstGeom>
        <a:ln xmlns:a="http://schemas.openxmlformats.org/drawingml/2006/main" w="25400">
          <a:solidFill>
            <a:schemeClr val="tx1">
              <a:lumMod val="85000"/>
              <a:lumOff val="15000"/>
            </a:schemeClr>
          </a:solidFill>
          <a:prstDash val="lg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0.30831</cdr:x>
      <cdr:y>0.07882</cdr:y>
    </cdr:from>
    <cdr:to>
      <cdr:x>0.3099</cdr:x>
      <cdr:y>0.74138</cdr:y>
    </cdr:to>
    <cdr:sp macro="" textlink="">
      <cdr:nvSpPr>
        <cdr:cNvPr id="4" name="Straight Connector 3"/>
        <cdr:cNvSpPr/>
      </cdr:nvSpPr>
      <cdr:spPr>
        <a:xfrm xmlns:a="http://schemas.openxmlformats.org/drawingml/2006/main" flipH="1" flipV="1">
          <a:off x="1838347" y="304806"/>
          <a:ext cx="9481" cy="2562218"/>
        </a:xfrm>
        <a:prstGeom xmlns:a="http://schemas.openxmlformats.org/drawingml/2006/main" prst="line">
          <a:avLst/>
        </a:prstGeom>
        <a:ln xmlns:a="http://schemas.openxmlformats.org/drawingml/2006/main" w="25400">
          <a:solidFill>
            <a:schemeClr val="tx1">
              <a:lumMod val="85000"/>
              <a:lumOff val="15000"/>
            </a:schemeClr>
          </a:solidFill>
          <a:prstDash val="lg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0.11342</cdr:x>
      <cdr:y>0.14778</cdr:y>
    </cdr:from>
    <cdr:to>
      <cdr:x>0.32943</cdr:x>
      <cdr:y>0.50739</cdr:y>
    </cdr:to>
    <cdr:sp macro="" textlink="">
      <cdr:nvSpPr>
        <cdr:cNvPr id="8" name="TextBox 7"/>
        <cdr:cNvSpPr txBox="1"/>
      </cdr:nvSpPr>
      <cdr:spPr>
        <a:xfrm xmlns:a="http://schemas.openxmlformats.org/drawingml/2006/main">
          <a:off x="737854" y="579933"/>
          <a:ext cx="1405271" cy="141121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050">
              <a:solidFill>
                <a:schemeClr val="tx1">
                  <a:lumMod val="85000"/>
                  <a:lumOff val="15000"/>
                </a:schemeClr>
              </a:solidFill>
            </a:rPr>
            <a:t>Spray foam insul in roof/attic and walls</a:t>
          </a:r>
        </a:p>
        <a:p xmlns:a="http://schemas.openxmlformats.org/drawingml/2006/main">
          <a:r>
            <a:rPr lang="en-US" sz="1050">
              <a:solidFill>
                <a:schemeClr val="tx1">
                  <a:lumMod val="85000"/>
                  <a:lumOff val="15000"/>
                </a:schemeClr>
              </a:solidFill>
            </a:rPr>
            <a:t>Mean: 1.52</a:t>
          </a:r>
        </a:p>
        <a:p xmlns:a="http://schemas.openxmlformats.org/drawingml/2006/main">
          <a:r>
            <a:rPr lang="en-US" sz="1050">
              <a:solidFill>
                <a:schemeClr val="tx1">
                  <a:lumMod val="85000"/>
                  <a:lumOff val="15000"/>
                </a:schemeClr>
              </a:solidFill>
            </a:rPr>
            <a:t>Median: 1.43</a:t>
          </a:r>
          <a:r>
            <a:rPr lang="en-US" sz="1050">
              <a:solidFill>
                <a:srgbClr val="0070C0"/>
              </a:solidFill>
            </a:rPr>
            <a:t>	</a:t>
          </a:r>
        </a:p>
      </cdr:txBody>
    </cdr:sp>
  </cdr:relSizeAnchor>
  <cdr:relSizeAnchor xmlns:cdr="http://schemas.openxmlformats.org/drawingml/2006/chartDrawing">
    <cdr:from>
      <cdr:x>0.32748</cdr:x>
      <cdr:y>0.14778</cdr:y>
    </cdr:from>
    <cdr:to>
      <cdr:x>0.69649</cdr:x>
      <cdr:y>0.54187</cdr:y>
    </cdr:to>
    <cdr:sp macro="" textlink="">
      <cdr:nvSpPr>
        <cdr:cNvPr id="9" name="TextBox 8"/>
        <cdr:cNvSpPr txBox="1"/>
      </cdr:nvSpPr>
      <cdr:spPr>
        <a:xfrm xmlns:a="http://schemas.openxmlformats.org/drawingml/2006/main">
          <a:off x="1952625" y="579933"/>
          <a:ext cx="2200301" cy="154652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050">
              <a:solidFill>
                <a:schemeClr val="tx1">
                  <a:lumMod val="95000"/>
                  <a:lumOff val="5000"/>
                </a:schemeClr>
              </a:solidFill>
            </a:rPr>
            <a:t>Spray foam insulation</a:t>
          </a:r>
          <a:r>
            <a:rPr lang="en-US" sz="1050" baseline="0">
              <a:solidFill>
                <a:schemeClr val="tx1">
                  <a:lumMod val="95000"/>
                  <a:lumOff val="5000"/>
                </a:schemeClr>
              </a:solidFill>
            </a:rPr>
            <a:t> in roof/attic only</a:t>
          </a:r>
        </a:p>
        <a:p xmlns:a="http://schemas.openxmlformats.org/drawingml/2006/main">
          <a:endParaRPr lang="en-US" sz="1050" baseline="0">
            <a:solidFill>
              <a:schemeClr val="tx1">
                <a:lumMod val="85000"/>
                <a:lumOff val="15000"/>
              </a:schemeClr>
            </a:solidFill>
          </a:endParaRPr>
        </a:p>
        <a:p xmlns:a="http://schemas.openxmlformats.org/drawingml/2006/main">
          <a:r>
            <a:rPr lang="en-US" sz="1050">
              <a:solidFill>
                <a:schemeClr val="tx1">
                  <a:lumMod val="85000"/>
                  <a:lumOff val="15000"/>
                </a:schemeClr>
              </a:solidFill>
            </a:rPr>
            <a:t>Mean</a:t>
          </a:r>
          <a:r>
            <a:rPr lang="en-US" sz="1050" baseline="0">
              <a:solidFill>
                <a:schemeClr val="tx1">
                  <a:lumMod val="85000"/>
                  <a:lumOff val="15000"/>
                </a:schemeClr>
              </a:solidFill>
            </a:rPr>
            <a:t> w/o Arlington: 1.95 </a:t>
          </a:r>
        </a:p>
        <a:p xmlns:a="http://schemas.openxmlformats.org/drawingml/2006/main">
          <a:r>
            <a:rPr lang="en-US" sz="1050" baseline="0">
              <a:solidFill>
                <a:schemeClr val="tx1">
                  <a:lumMod val="85000"/>
                  <a:lumOff val="15000"/>
                </a:schemeClr>
              </a:solidFill>
            </a:rPr>
            <a:t>Median w/o Arlington: 1.47</a:t>
          </a:r>
          <a:r>
            <a:rPr lang="en-US" sz="1050" baseline="0">
              <a:solidFill>
                <a:schemeClr val="tx2"/>
              </a:solidFill>
            </a:rPr>
            <a:t> </a:t>
          </a:r>
        </a:p>
        <a:p xmlns:a="http://schemas.openxmlformats.org/drawingml/2006/main">
          <a:endParaRPr lang="en-US" sz="1050">
            <a:solidFill>
              <a:srgbClr val="0070C0"/>
            </a:solidFill>
          </a:endParaRPr>
        </a:p>
      </cdr:txBody>
    </cdr:sp>
  </cdr:relSizeAnchor>
  <cdr:relSizeAnchor xmlns:cdr="http://schemas.openxmlformats.org/drawingml/2006/chartDrawing">
    <cdr:from>
      <cdr:x>0.73642</cdr:x>
      <cdr:y>0.14532</cdr:y>
    </cdr:from>
    <cdr:to>
      <cdr:x>0.95527</cdr:x>
      <cdr:y>0.41379</cdr:y>
    </cdr:to>
    <cdr:sp macro="" textlink="">
      <cdr:nvSpPr>
        <cdr:cNvPr id="10" name="TextBox 9"/>
        <cdr:cNvSpPr txBox="1"/>
      </cdr:nvSpPr>
      <cdr:spPr>
        <a:xfrm xmlns:a="http://schemas.openxmlformats.org/drawingml/2006/main">
          <a:off x="4391014" y="570279"/>
          <a:ext cx="1304936" cy="105355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050">
              <a:solidFill>
                <a:schemeClr val="tx1">
                  <a:lumMod val="95000"/>
                  <a:lumOff val="5000"/>
                </a:schemeClr>
              </a:solidFill>
            </a:rPr>
            <a:t>No spray</a:t>
          </a:r>
          <a:r>
            <a:rPr lang="en-US" sz="1050" baseline="0">
              <a:solidFill>
                <a:schemeClr val="tx1">
                  <a:lumMod val="95000"/>
                  <a:lumOff val="5000"/>
                </a:schemeClr>
              </a:solidFill>
            </a:rPr>
            <a:t> foam insul in roof or walls </a:t>
          </a:r>
        </a:p>
        <a:p xmlns:a="http://schemas.openxmlformats.org/drawingml/2006/main">
          <a:r>
            <a:rPr lang="en-US" sz="1050">
              <a:solidFill>
                <a:schemeClr val="tx1">
                  <a:lumMod val="85000"/>
                  <a:lumOff val="15000"/>
                </a:schemeClr>
              </a:solidFill>
            </a:rPr>
            <a:t>Mean</a:t>
          </a:r>
          <a:r>
            <a:rPr lang="en-US" sz="1050" baseline="0">
              <a:solidFill>
                <a:schemeClr val="tx1">
                  <a:lumMod val="85000"/>
                  <a:lumOff val="15000"/>
                </a:schemeClr>
              </a:solidFill>
            </a:rPr>
            <a:t>: 0.72</a:t>
          </a:r>
        </a:p>
        <a:p xmlns:a="http://schemas.openxmlformats.org/drawingml/2006/main">
          <a:r>
            <a:rPr lang="en-US" sz="1050" baseline="0">
              <a:solidFill>
                <a:schemeClr val="tx1">
                  <a:lumMod val="85000"/>
                  <a:lumOff val="15000"/>
                </a:schemeClr>
              </a:solidFill>
            </a:rPr>
            <a:t>Median: 0.74</a:t>
          </a:r>
        </a:p>
        <a:p xmlns:a="http://schemas.openxmlformats.org/drawingml/2006/main">
          <a:endParaRPr lang="en-US" sz="1050" baseline="0">
            <a:solidFill>
              <a:srgbClr val="0070C0"/>
            </a:solidFill>
          </a:endParaRPr>
        </a:p>
      </cdr:txBody>
    </cdr:sp>
  </cdr:relSizeAnchor>
  <cdr:relSizeAnchor xmlns:cdr="http://schemas.openxmlformats.org/drawingml/2006/chartDrawing">
    <cdr:from>
      <cdr:x>0.02236</cdr:x>
      <cdr:y>0.00246</cdr:y>
    </cdr:from>
    <cdr:to>
      <cdr:x>0.06709</cdr:x>
      <cdr:y>0.19951</cdr:y>
    </cdr:to>
    <cdr:sp macro="" textlink="">
      <cdr:nvSpPr>
        <cdr:cNvPr id="11" name="TextBox 10"/>
        <cdr:cNvSpPr txBox="1"/>
      </cdr:nvSpPr>
      <cdr:spPr>
        <a:xfrm xmlns:a="http://schemas.openxmlformats.org/drawingml/2006/main" rot="16200000">
          <a:off x="-114301" y="257176"/>
          <a:ext cx="762004" cy="2667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000"/>
            <a:t>ACH50</a:t>
          </a:r>
        </a:p>
      </cdr:txBody>
    </cdr:sp>
  </cdr:relSizeAnchor>
</c:userShapes>
</file>

<file path=xl/drawings/drawing18.xml><?xml version="1.0" encoding="utf-8"?>
<xdr:wsDr xmlns:xdr="http://schemas.openxmlformats.org/drawingml/2006/spreadsheetDrawing" xmlns:a="http://schemas.openxmlformats.org/drawingml/2006/main">
  <xdr:twoCellAnchor>
    <xdr:from>
      <xdr:col>3</xdr:col>
      <xdr:colOff>771525</xdr:colOff>
      <xdr:row>33</xdr:row>
      <xdr:rowOff>19050</xdr:rowOff>
    </xdr:from>
    <xdr:to>
      <xdr:col>12</xdr:col>
      <xdr:colOff>400050</xdr:colOff>
      <xdr:row>53</xdr:row>
      <xdr:rowOff>76200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133350</xdr:colOff>
      <xdr:row>30</xdr:row>
      <xdr:rowOff>152400</xdr:rowOff>
    </xdr:from>
    <xdr:to>
      <xdr:col>27</xdr:col>
      <xdr:colOff>133351</xdr:colOff>
      <xdr:row>53</xdr:row>
      <xdr:rowOff>142875</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9.xml><?xml version="1.0" encoding="utf-8"?>
<c:userShapes xmlns:c="http://schemas.openxmlformats.org/drawingml/2006/chart">
  <cdr:relSizeAnchor xmlns:cdr="http://schemas.openxmlformats.org/drawingml/2006/chartDrawing">
    <cdr:from>
      <cdr:x>0.57348</cdr:x>
      <cdr:y>0.09853</cdr:y>
    </cdr:from>
    <cdr:to>
      <cdr:x>0.57348</cdr:x>
      <cdr:y>0.76109</cdr:y>
    </cdr:to>
    <cdr:sp macro="" textlink="">
      <cdr:nvSpPr>
        <cdr:cNvPr id="3" name="Straight Connector 2"/>
        <cdr:cNvSpPr/>
      </cdr:nvSpPr>
      <cdr:spPr>
        <a:xfrm xmlns:a="http://schemas.openxmlformats.org/drawingml/2006/main" flipV="1">
          <a:off x="3419469" y="381027"/>
          <a:ext cx="0" cy="2562219"/>
        </a:xfrm>
        <a:prstGeom xmlns:a="http://schemas.openxmlformats.org/drawingml/2006/main" prst="line">
          <a:avLst/>
        </a:prstGeom>
        <a:ln xmlns:a="http://schemas.openxmlformats.org/drawingml/2006/main" w="25400">
          <a:solidFill>
            <a:srgbClr val="FF0000"/>
          </a:solidFill>
          <a:prstDash val="lg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0.11182</cdr:x>
      <cdr:y>0.16502</cdr:y>
    </cdr:from>
    <cdr:to>
      <cdr:x>0.52077</cdr:x>
      <cdr:y>0.54926</cdr:y>
    </cdr:to>
    <cdr:sp macro="" textlink="">
      <cdr:nvSpPr>
        <cdr:cNvPr id="6" name="TextBox 5"/>
        <cdr:cNvSpPr txBox="1"/>
      </cdr:nvSpPr>
      <cdr:spPr>
        <a:xfrm xmlns:a="http://schemas.openxmlformats.org/drawingml/2006/main">
          <a:off x="666744" y="638175"/>
          <a:ext cx="2438406" cy="14859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050">
              <a:solidFill>
                <a:srgbClr val="FF0000"/>
              </a:solidFill>
            </a:rPr>
            <a:t>Spray foam insulation used for air control layer for walls and/or for roof/attic</a:t>
          </a:r>
        </a:p>
        <a:p xmlns:a="http://schemas.openxmlformats.org/drawingml/2006/main">
          <a:r>
            <a:rPr lang="en-US" sz="1050">
              <a:solidFill>
                <a:schemeClr val="tx2"/>
              </a:solidFill>
            </a:rPr>
            <a:t>Mean w/o Arlington: 1.67 </a:t>
          </a:r>
        </a:p>
        <a:p xmlns:a="http://schemas.openxmlformats.org/drawingml/2006/main">
          <a:r>
            <a:rPr lang="en-US" sz="1050">
              <a:solidFill>
                <a:schemeClr val="tx2"/>
              </a:solidFill>
            </a:rPr>
            <a:t>Median</a:t>
          </a:r>
          <a:r>
            <a:rPr lang="en-US" sz="1050" baseline="0">
              <a:solidFill>
                <a:schemeClr val="tx2"/>
              </a:solidFill>
            </a:rPr>
            <a:t> w/ Arlington: </a:t>
          </a:r>
          <a:r>
            <a:rPr lang="en-US" sz="1050">
              <a:solidFill>
                <a:schemeClr val="tx2"/>
              </a:solidFill>
            </a:rPr>
            <a:t>1.50</a:t>
          </a:r>
        </a:p>
      </cdr:txBody>
    </cdr:sp>
  </cdr:relSizeAnchor>
  <cdr:relSizeAnchor xmlns:cdr="http://schemas.openxmlformats.org/drawingml/2006/chartDrawing">
    <cdr:from>
      <cdr:x>0.57508</cdr:x>
      <cdr:y>0.16502</cdr:y>
    </cdr:from>
    <cdr:to>
      <cdr:x>0.98083</cdr:x>
      <cdr:y>0.38177</cdr:y>
    </cdr:to>
    <cdr:sp macro="" textlink="">
      <cdr:nvSpPr>
        <cdr:cNvPr id="7" name="TextBox 6"/>
        <cdr:cNvSpPr txBox="1"/>
      </cdr:nvSpPr>
      <cdr:spPr>
        <a:xfrm xmlns:a="http://schemas.openxmlformats.org/drawingml/2006/main">
          <a:off x="3429000" y="638176"/>
          <a:ext cx="2419350" cy="8382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050">
              <a:solidFill>
                <a:srgbClr val="FF0000"/>
              </a:solidFill>
            </a:rPr>
            <a:t>Spray foam insulation, if any.</a:t>
          </a:r>
          <a:r>
            <a:rPr lang="en-US" sz="1050" baseline="0">
              <a:solidFill>
                <a:srgbClr val="FF0000"/>
              </a:solidFill>
            </a:rPr>
            <a:t> not used as air control layer for walls or roof/attic</a:t>
          </a:r>
          <a:endParaRPr lang="en-US" sz="1050">
            <a:solidFill>
              <a:srgbClr val="FF0000"/>
            </a:solidFill>
          </a:endParaRPr>
        </a:p>
        <a:p xmlns:a="http://schemas.openxmlformats.org/drawingml/2006/main">
          <a:r>
            <a:rPr lang="en-US" sz="1050">
              <a:solidFill>
                <a:schemeClr val="tx2"/>
              </a:solidFill>
            </a:rPr>
            <a:t>Mean = 1.40</a:t>
          </a:r>
        </a:p>
        <a:p xmlns:a="http://schemas.openxmlformats.org/drawingml/2006/main">
          <a:r>
            <a:rPr lang="en-US" sz="1050">
              <a:solidFill>
                <a:schemeClr val="tx2"/>
              </a:solidFill>
            </a:rPr>
            <a:t>Median = 1.04</a:t>
          </a:r>
        </a:p>
      </cdr:txBody>
    </cdr:sp>
  </cdr:relSizeAnchor>
  <cdr:relSizeAnchor xmlns:cdr="http://schemas.openxmlformats.org/drawingml/2006/chartDrawing">
    <cdr:from>
      <cdr:x>0.58786</cdr:x>
      <cdr:y>0.6601</cdr:y>
    </cdr:from>
    <cdr:to>
      <cdr:x>0.76038</cdr:x>
      <cdr:y>0.77094</cdr:y>
    </cdr:to>
    <cdr:sp macro="" textlink="">
      <cdr:nvSpPr>
        <cdr:cNvPr id="8" name="Rectangle 7"/>
        <cdr:cNvSpPr/>
      </cdr:nvSpPr>
      <cdr:spPr>
        <a:xfrm xmlns:a="http://schemas.openxmlformats.org/drawingml/2006/main">
          <a:off x="3505200" y="2552700"/>
          <a:ext cx="1028680" cy="428640"/>
        </a:xfrm>
        <a:prstGeom xmlns:a="http://schemas.openxmlformats.org/drawingml/2006/main" prst="rect">
          <a:avLst/>
        </a:prstGeom>
        <a:noFill xmlns:a="http://schemas.openxmlformats.org/drawingml/2006/main"/>
        <a:ln xmlns:a="http://schemas.openxmlformats.org/drawingml/2006/main">
          <a:solidFill>
            <a:schemeClr val="tx1">
              <a:lumMod val="75000"/>
              <a:lumOff val="25000"/>
            </a:schemeClr>
          </a:solidFill>
          <a:prstDash val="dash"/>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0.58786</cdr:x>
      <cdr:y>0.59113</cdr:y>
    </cdr:from>
    <cdr:to>
      <cdr:x>0.78435</cdr:x>
      <cdr:y>0.64778</cdr:y>
    </cdr:to>
    <cdr:sp macro="" textlink="">
      <cdr:nvSpPr>
        <cdr:cNvPr id="9" name="TextBox 8"/>
        <cdr:cNvSpPr txBox="1"/>
      </cdr:nvSpPr>
      <cdr:spPr>
        <a:xfrm xmlns:a="http://schemas.openxmlformats.org/drawingml/2006/main">
          <a:off x="3505203" y="2286000"/>
          <a:ext cx="1171602" cy="21907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050">
              <a:solidFill>
                <a:schemeClr val="tx1">
                  <a:lumMod val="75000"/>
                  <a:lumOff val="25000"/>
                </a:schemeClr>
              </a:solidFill>
            </a:rPr>
            <a:t>No spray</a:t>
          </a:r>
          <a:r>
            <a:rPr lang="en-US" sz="1050" baseline="0">
              <a:solidFill>
                <a:schemeClr val="tx1">
                  <a:lumMod val="75000"/>
                  <a:lumOff val="25000"/>
                </a:schemeClr>
              </a:solidFill>
            </a:rPr>
            <a:t> foam</a:t>
          </a:r>
          <a:endParaRPr lang="en-US" sz="1050">
            <a:solidFill>
              <a:schemeClr val="tx1">
                <a:lumMod val="75000"/>
                <a:lumOff val="25000"/>
              </a:schemeClr>
            </a:solidFill>
          </a:endParaRPr>
        </a:p>
      </cdr:txBody>
    </cdr:sp>
  </cdr:relSizeAnchor>
  <cdr:relSizeAnchor xmlns:cdr="http://schemas.openxmlformats.org/drawingml/2006/chartDrawing">
    <cdr:from>
      <cdr:x>0.00958</cdr:x>
      <cdr:y>0.01478</cdr:y>
    </cdr:from>
    <cdr:to>
      <cdr:x>0.05112</cdr:x>
      <cdr:y>0.21429</cdr:y>
    </cdr:to>
    <cdr:sp macro="" textlink="">
      <cdr:nvSpPr>
        <cdr:cNvPr id="10" name="TextBox 9"/>
        <cdr:cNvSpPr txBox="1"/>
      </cdr:nvSpPr>
      <cdr:spPr>
        <a:xfrm xmlns:a="http://schemas.openxmlformats.org/drawingml/2006/main" rot="16200000">
          <a:off x="-204787" y="319087"/>
          <a:ext cx="771526" cy="2476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000"/>
            <a:t>ACH50</a:t>
          </a:r>
        </a:p>
      </cdr:txBody>
    </cdr:sp>
  </cdr:relSizeAnchor>
</c:userShapes>
</file>

<file path=xl/drawings/drawing2.xml><?xml version="1.0" encoding="utf-8"?>
<c:userShapes xmlns:c="http://schemas.openxmlformats.org/drawingml/2006/chart">
  <cdr:relSizeAnchor xmlns:cdr="http://schemas.openxmlformats.org/drawingml/2006/chartDrawing">
    <cdr:from>
      <cdr:x>0.08679</cdr:x>
      <cdr:y>0.39149</cdr:y>
    </cdr:from>
    <cdr:to>
      <cdr:x>0.98449</cdr:x>
      <cdr:y>0.39223</cdr:y>
    </cdr:to>
    <cdr:sp macro="" textlink="">
      <cdr:nvSpPr>
        <cdr:cNvPr id="5" name="Straight Connector 4"/>
        <cdr:cNvSpPr/>
      </cdr:nvSpPr>
      <cdr:spPr>
        <a:xfrm xmlns:a="http://schemas.openxmlformats.org/drawingml/2006/main" flipV="1">
          <a:off x="516568" y="1348154"/>
          <a:ext cx="5342773" cy="2557"/>
        </a:xfrm>
        <a:prstGeom xmlns:a="http://schemas.openxmlformats.org/drawingml/2006/main" prst="line">
          <a:avLst/>
        </a:prstGeom>
        <a:ln xmlns:a="http://schemas.openxmlformats.org/drawingml/2006/main" w="25400">
          <a:solidFill>
            <a:srgbClr val="FF0000"/>
          </a:solidFill>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0.08928</cdr:x>
      <cdr:y>0.53191</cdr:y>
    </cdr:from>
    <cdr:to>
      <cdr:x>0.98818</cdr:x>
      <cdr:y>0.53255</cdr:y>
    </cdr:to>
    <cdr:sp macro="" textlink="">
      <cdr:nvSpPr>
        <cdr:cNvPr id="6" name="Straight Connector 5"/>
        <cdr:cNvSpPr/>
      </cdr:nvSpPr>
      <cdr:spPr>
        <a:xfrm xmlns:a="http://schemas.openxmlformats.org/drawingml/2006/main">
          <a:off x="510687" y="1831731"/>
          <a:ext cx="5141841" cy="2184"/>
        </a:xfrm>
        <a:prstGeom xmlns:a="http://schemas.openxmlformats.org/drawingml/2006/main" prst="line">
          <a:avLst/>
        </a:prstGeom>
        <a:ln xmlns:a="http://schemas.openxmlformats.org/drawingml/2006/main" w="25400">
          <a:solidFill>
            <a:srgbClr val="FF0000"/>
          </a:solidFill>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0.62502</cdr:x>
      <cdr:y>0.32553</cdr:y>
    </cdr:from>
    <cdr:to>
      <cdr:x>1</cdr:x>
      <cdr:y>0.38723</cdr:y>
    </cdr:to>
    <cdr:sp macro="" textlink="">
      <cdr:nvSpPr>
        <cdr:cNvPr id="7" name="TextBox 6"/>
        <cdr:cNvSpPr txBox="1"/>
      </cdr:nvSpPr>
      <cdr:spPr>
        <a:xfrm xmlns:a="http://schemas.openxmlformats.org/drawingml/2006/main">
          <a:off x="3719880" y="1121019"/>
          <a:ext cx="2231780" cy="21248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100">
              <a:solidFill>
                <a:srgbClr val="FF0000"/>
              </a:solidFill>
            </a:rPr>
            <a:t>ENERGY STAR V3 requirement: 4.0</a:t>
          </a:r>
        </a:p>
      </cdr:txBody>
    </cdr:sp>
  </cdr:relSizeAnchor>
  <cdr:relSizeAnchor xmlns:cdr="http://schemas.openxmlformats.org/drawingml/2006/chartDrawing">
    <cdr:from>
      <cdr:x>0.62502</cdr:x>
      <cdr:y>0.45957</cdr:y>
    </cdr:from>
    <cdr:to>
      <cdr:x>1</cdr:x>
      <cdr:y>0.52979</cdr:y>
    </cdr:to>
    <cdr:sp macro="" textlink="">
      <cdr:nvSpPr>
        <cdr:cNvPr id="8" name="TextBox 7"/>
        <cdr:cNvSpPr txBox="1"/>
      </cdr:nvSpPr>
      <cdr:spPr>
        <a:xfrm xmlns:a="http://schemas.openxmlformats.org/drawingml/2006/main">
          <a:off x="3600589" y="1582600"/>
          <a:ext cx="2160171" cy="24181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100">
              <a:solidFill>
                <a:srgbClr val="FF0000"/>
              </a:solidFill>
            </a:rPr>
            <a:t>Mean for retrofit community:</a:t>
          </a:r>
          <a:r>
            <a:rPr lang="en-US" sz="1100" baseline="0">
              <a:solidFill>
                <a:srgbClr val="FF0000"/>
              </a:solidFill>
            </a:rPr>
            <a:t> 1.98</a:t>
          </a:r>
          <a:endParaRPr lang="en-US" sz="1100">
            <a:solidFill>
              <a:srgbClr val="FF0000"/>
            </a:solidFill>
          </a:endParaRPr>
        </a:p>
      </cdr:txBody>
    </cdr:sp>
  </cdr:relSizeAnchor>
  <cdr:relSizeAnchor xmlns:cdr="http://schemas.openxmlformats.org/drawingml/2006/chartDrawing">
    <cdr:from>
      <cdr:x>0.00702</cdr:x>
      <cdr:y>0.05949</cdr:y>
    </cdr:from>
    <cdr:to>
      <cdr:x>0.04272</cdr:x>
      <cdr:y>0.28496</cdr:y>
    </cdr:to>
    <cdr:sp macro="" textlink="">
      <cdr:nvSpPr>
        <cdr:cNvPr id="10" name="TextBox 9"/>
        <cdr:cNvSpPr txBox="1"/>
      </cdr:nvSpPr>
      <cdr:spPr>
        <a:xfrm xmlns:a="http://schemas.openxmlformats.org/drawingml/2006/main" rot="16200000">
          <a:off x="-287945" y="559775"/>
          <a:ext cx="871905" cy="21248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000"/>
            <a:t>ACH50</a:t>
          </a:r>
        </a:p>
      </cdr:txBody>
    </cdr:sp>
  </cdr:relSizeAnchor>
</c:userShapes>
</file>

<file path=xl/drawings/drawing20.xml><?xml version="1.0" encoding="utf-8"?>
<c:userShapes xmlns:c="http://schemas.openxmlformats.org/drawingml/2006/chart">
  <cdr:relSizeAnchor xmlns:cdr="http://schemas.openxmlformats.org/drawingml/2006/chartDrawing">
    <cdr:from>
      <cdr:x>0.57348</cdr:x>
      <cdr:y>0.07674</cdr:y>
    </cdr:from>
    <cdr:to>
      <cdr:x>0.57452</cdr:x>
      <cdr:y>0.7451</cdr:y>
    </cdr:to>
    <cdr:sp macro="" textlink="">
      <cdr:nvSpPr>
        <cdr:cNvPr id="3" name="Straight Connector 2"/>
        <cdr:cNvSpPr/>
      </cdr:nvSpPr>
      <cdr:spPr>
        <a:xfrm xmlns:a="http://schemas.openxmlformats.org/drawingml/2006/main" flipH="1" flipV="1">
          <a:off x="4287981" y="335520"/>
          <a:ext cx="7793" cy="2922030"/>
        </a:xfrm>
        <a:prstGeom xmlns:a="http://schemas.openxmlformats.org/drawingml/2006/main" prst="line">
          <a:avLst/>
        </a:prstGeom>
        <a:ln xmlns:a="http://schemas.openxmlformats.org/drawingml/2006/main" w="25400">
          <a:solidFill>
            <a:schemeClr val="tx1"/>
          </a:solidFill>
          <a:prstDash val="solid"/>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0.11182</cdr:x>
      <cdr:y>0.08497</cdr:y>
    </cdr:from>
    <cdr:to>
      <cdr:x>0.52077</cdr:x>
      <cdr:y>0.54926</cdr:y>
    </cdr:to>
    <cdr:sp macro="" textlink="">
      <cdr:nvSpPr>
        <cdr:cNvPr id="6" name="TextBox 5"/>
        <cdr:cNvSpPr txBox="1"/>
      </cdr:nvSpPr>
      <cdr:spPr>
        <a:xfrm xmlns:a="http://schemas.openxmlformats.org/drawingml/2006/main">
          <a:off x="836092" y="371475"/>
          <a:ext cx="3057771" cy="202987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050">
              <a:solidFill>
                <a:schemeClr val="tx1">
                  <a:lumMod val="95000"/>
                  <a:lumOff val="5000"/>
                </a:schemeClr>
              </a:solidFill>
            </a:rPr>
            <a:t>Spray foam insulation used for air control layer for walls and/or for roof/attic</a:t>
          </a:r>
        </a:p>
        <a:p xmlns:a="http://schemas.openxmlformats.org/drawingml/2006/main">
          <a:endParaRPr lang="en-US" sz="1050">
            <a:solidFill>
              <a:schemeClr val="tx1">
                <a:lumMod val="95000"/>
                <a:lumOff val="5000"/>
              </a:schemeClr>
            </a:solidFill>
          </a:endParaRPr>
        </a:p>
        <a:p xmlns:a="http://schemas.openxmlformats.org/drawingml/2006/main">
          <a:endParaRPr lang="en-US" sz="1050">
            <a:solidFill>
              <a:schemeClr val="tx1">
                <a:lumMod val="95000"/>
                <a:lumOff val="5000"/>
              </a:schemeClr>
            </a:solidFill>
          </a:endParaRPr>
        </a:p>
        <a:p xmlns:a="http://schemas.openxmlformats.org/drawingml/2006/main">
          <a:r>
            <a:rPr lang="en-US" sz="1050">
              <a:solidFill>
                <a:schemeClr val="tx1">
                  <a:lumMod val="95000"/>
                  <a:lumOff val="5000"/>
                </a:schemeClr>
              </a:solidFill>
            </a:rPr>
            <a:t>Mean w/o Arlington: 1.67 </a:t>
          </a:r>
        </a:p>
        <a:p xmlns:a="http://schemas.openxmlformats.org/drawingml/2006/main">
          <a:r>
            <a:rPr lang="en-US" sz="1050">
              <a:solidFill>
                <a:schemeClr val="tx1">
                  <a:lumMod val="95000"/>
                  <a:lumOff val="5000"/>
                </a:schemeClr>
              </a:solidFill>
            </a:rPr>
            <a:t>Median</a:t>
          </a:r>
          <a:r>
            <a:rPr lang="en-US" sz="1050" baseline="0">
              <a:solidFill>
                <a:schemeClr val="tx1">
                  <a:lumMod val="95000"/>
                  <a:lumOff val="5000"/>
                </a:schemeClr>
              </a:solidFill>
            </a:rPr>
            <a:t> w/o Arlington: </a:t>
          </a:r>
          <a:r>
            <a:rPr lang="en-US" sz="1050">
              <a:solidFill>
                <a:schemeClr val="tx1">
                  <a:lumMod val="95000"/>
                  <a:lumOff val="5000"/>
                </a:schemeClr>
              </a:solidFill>
            </a:rPr>
            <a:t>1.40</a:t>
          </a:r>
        </a:p>
      </cdr:txBody>
    </cdr:sp>
  </cdr:relSizeAnchor>
  <cdr:relSizeAnchor xmlns:cdr="http://schemas.openxmlformats.org/drawingml/2006/chartDrawing">
    <cdr:from>
      <cdr:x>0.57508</cdr:x>
      <cdr:y>0.08279</cdr:y>
    </cdr:from>
    <cdr:to>
      <cdr:x>0.98083</cdr:x>
      <cdr:y>0.38177</cdr:y>
    </cdr:to>
    <cdr:sp macro="" textlink="">
      <cdr:nvSpPr>
        <cdr:cNvPr id="7" name="TextBox 6"/>
        <cdr:cNvSpPr txBox="1"/>
      </cdr:nvSpPr>
      <cdr:spPr>
        <a:xfrm xmlns:a="http://schemas.openxmlformats.org/drawingml/2006/main">
          <a:off x="4299946" y="361950"/>
          <a:ext cx="3033843" cy="130713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050">
              <a:solidFill>
                <a:schemeClr val="tx1">
                  <a:lumMod val="95000"/>
                  <a:lumOff val="5000"/>
                </a:schemeClr>
              </a:solidFill>
            </a:rPr>
            <a:t>Spray foam insulation, if any.</a:t>
          </a:r>
          <a:r>
            <a:rPr lang="en-US" sz="1050" baseline="0">
              <a:solidFill>
                <a:schemeClr val="tx1">
                  <a:lumMod val="95000"/>
                  <a:lumOff val="5000"/>
                </a:schemeClr>
              </a:solidFill>
            </a:rPr>
            <a:t> not used as air control layer for walls or roof/attic</a:t>
          </a:r>
        </a:p>
        <a:p xmlns:a="http://schemas.openxmlformats.org/drawingml/2006/main">
          <a:endParaRPr lang="en-US" sz="1050">
            <a:solidFill>
              <a:schemeClr val="tx1">
                <a:lumMod val="95000"/>
                <a:lumOff val="5000"/>
              </a:schemeClr>
            </a:solidFill>
          </a:endParaRPr>
        </a:p>
        <a:p xmlns:a="http://schemas.openxmlformats.org/drawingml/2006/main">
          <a:endParaRPr lang="en-US" sz="1050">
            <a:solidFill>
              <a:schemeClr val="tx1">
                <a:lumMod val="95000"/>
                <a:lumOff val="5000"/>
              </a:schemeClr>
            </a:solidFill>
          </a:endParaRPr>
        </a:p>
        <a:p xmlns:a="http://schemas.openxmlformats.org/drawingml/2006/main">
          <a:r>
            <a:rPr lang="en-US" sz="1050">
              <a:solidFill>
                <a:schemeClr val="tx1">
                  <a:lumMod val="95000"/>
                  <a:lumOff val="5000"/>
                </a:schemeClr>
              </a:solidFill>
            </a:rPr>
            <a:t>Mean = 1.40</a:t>
          </a:r>
        </a:p>
        <a:p xmlns:a="http://schemas.openxmlformats.org/drawingml/2006/main">
          <a:r>
            <a:rPr lang="en-US" sz="1050">
              <a:solidFill>
                <a:schemeClr val="tx1">
                  <a:lumMod val="95000"/>
                  <a:lumOff val="5000"/>
                </a:schemeClr>
              </a:solidFill>
            </a:rPr>
            <a:t>Median = 1.04</a:t>
          </a:r>
        </a:p>
      </cdr:txBody>
    </cdr:sp>
  </cdr:relSizeAnchor>
  <cdr:relSizeAnchor xmlns:cdr="http://schemas.openxmlformats.org/drawingml/2006/chartDrawing">
    <cdr:from>
      <cdr:x>0.02038</cdr:x>
      <cdr:y>0.01478</cdr:y>
    </cdr:from>
    <cdr:to>
      <cdr:x>0.05733</cdr:x>
      <cdr:y>0.21429</cdr:y>
    </cdr:to>
    <cdr:sp macro="" textlink="">
      <cdr:nvSpPr>
        <cdr:cNvPr id="10" name="TextBox 9"/>
        <cdr:cNvSpPr txBox="1"/>
      </cdr:nvSpPr>
      <cdr:spPr>
        <a:xfrm xmlns:a="http://schemas.openxmlformats.org/drawingml/2006/main" rot="16200000">
          <a:off x="-134211" y="349538"/>
          <a:ext cx="849449" cy="27622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000"/>
            <a:t>ACH50</a:t>
          </a:r>
        </a:p>
      </cdr:txBody>
    </cdr:sp>
  </cdr:relSizeAnchor>
</c:userShapes>
</file>

<file path=xl/drawings/drawing21.xml><?xml version="1.0" encoding="utf-8"?>
<xdr:wsDr xmlns:xdr="http://schemas.openxmlformats.org/drawingml/2006/spreadsheetDrawing" xmlns:a="http://schemas.openxmlformats.org/drawingml/2006/main">
  <xdr:twoCellAnchor>
    <xdr:from>
      <xdr:col>3</xdr:col>
      <xdr:colOff>704850</xdr:colOff>
      <xdr:row>34</xdr:row>
      <xdr:rowOff>133350</xdr:rowOff>
    </xdr:from>
    <xdr:to>
      <xdr:col>12</xdr:col>
      <xdr:colOff>333375</xdr:colOff>
      <xdr:row>55</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635000</xdr:colOff>
      <xdr:row>35</xdr:row>
      <xdr:rowOff>76200</xdr:rowOff>
    </xdr:from>
    <xdr:to>
      <xdr:col>25</xdr:col>
      <xdr:colOff>152400</xdr:colOff>
      <xdr:row>60</xdr:row>
      <xdr:rowOff>38100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2.xml><?xml version="1.0" encoding="utf-8"?>
<c:userShapes xmlns:c="http://schemas.openxmlformats.org/drawingml/2006/chart">
  <cdr:relSizeAnchor xmlns:cdr="http://schemas.openxmlformats.org/drawingml/2006/chartDrawing">
    <cdr:from>
      <cdr:x>0.84345</cdr:x>
      <cdr:y>0.05665</cdr:y>
    </cdr:from>
    <cdr:to>
      <cdr:x>0.84576</cdr:x>
      <cdr:y>0.75868</cdr:y>
    </cdr:to>
    <cdr:sp macro="" textlink="">
      <cdr:nvSpPr>
        <cdr:cNvPr id="5" name="Straight Connector 4"/>
        <cdr:cNvSpPr/>
      </cdr:nvSpPr>
      <cdr:spPr>
        <a:xfrm xmlns:a="http://schemas.openxmlformats.org/drawingml/2006/main" flipH="1" flipV="1">
          <a:off x="5029200" y="219075"/>
          <a:ext cx="13756" cy="2714839"/>
        </a:xfrm>
        <a:prstGeom xmlns:a="http://schemas.openxmlformats.org/drawingml/2006/main" prst="line">
          <a:avLst/>
        </a:prstGeom>
        <a:ln xmlns:a="http://schemas.openxmlformats.org/drawingml/2006/main" w="25400">
          <a:solidFill>
            <a:schemeClr val="tx1"/>
          </a:solidFill>
          <a:prstDash val="solid"/>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0.34984</cdr:x>
      <cdr:y>0.00246</cdr:y>
    </cdr:from>
    <cdr:to>
      <cdr:x>0.69808</cdr:x>
      <cdr:y>0.22167</cdr:y>
    </cdr:to>
    <cdr:sp macro="" textlink="">
      <cdr:nvSpPr>
        <cdr:cNvPr id="9" name="TextBox 8"/>
        <cdr:cNvSpPr txBox="1"/>
      </cdr:nvSpPr>
      <cdr:spPr>
        <a:xfrm xmlns:a="http://schemas.openxmlformats.org/drawingml/2006/main">
          <a:off x="2085975" y="9528"/>
          <a:ext cx="2076450" cy="84771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100" baseline="0">
              <a:solidFill>
                <a:schemeClr val="tx1">
                  <a:lumMod val="95000"/>
                  <a:lumOff val="5000"/>
                </a:schemeClr>
              </a:solidFill>
            </a:rPr>
            <a:t>       </a:t>
          </a:r>
          <a:r>
            <a:rPr lang="en-US" sz="1100">
              <a:solidFill>
                <a:schemeClr val="tx1">
                  <a:lumMod val="95000"/>
                  <a:lumOff val="5000"/>
                </a:schemeClr>
              </a:solidFill>
            </a:rPr>
            <a:t>Unvented </a:t>
          </a:r>
          <a:r>
            <a:rPr lang="en-US" sz="1100" baseline="0">
              <a:solidFill>
                <a:schemeClr val="tx1">
                  <a:lumMod val="95000"/>
                  <a:lumOff val="5000"/>
                </a:schemeClr>
              </a:solidFill>
            </a:rPr>
            <a:t>Attic</a:t>
          </a:r>
        </a:p>
        <a:p xmlns:a="http://schemas.openxmlformats.org/drawingml/2006/main">
          <a:endParaRPr lang="en-US" sz="1100" baseline="0">
            <a:solidFill>
              <a:schemeClr val="tx1">
                <a:lumMod val="95000"/>
                <a:lumOff val="5000"/>
              </a:schemeClr>
            </a:solidFill>
          </a:endParaRPr>
        </a:p>
        <a:p xmlns:a="http://schemas.openxmlformats.org/drawingml/2006/main">
          <a:r>
            <a:rPr lang="en-US" sz="1100" baseline="0">
              <a:solidFill>
                <a:schemeClr val="tx1">
                  <a:lumMod val="95000"/>
                  <a:lumOff val="5000"/>
                </a:schemeClr>
              </a:solidFill>
            </a:rPr>
            <a:t>Mean w/o Arlington: 1.45</a:t>
          </a:r>
        </a:p>
        <a:p xmlns:a="http://schemas.openxmlformats.org/drawingml/2006/main">
          <a:r>
            <a:rPr lang="en-US" sz="1100" baseline="0">
              <a:solidFill>
                <a:schemeClr val="tx1">
                  <a:lumMod val="95000"/>
                  <a:lumOff val="5000"/>
                </a:schemeClr>
              </a:solidFill>
            </a:rPr>
            <a:t>Median w/o Arlington: 1.42</a:t>
          </a:r>
          <a:endParaRPr lang="en-US" sz="1100">
            <a:solidFill>
              <a:schemeClr val="tx1">
                <a:lumMod val="95000"/>
                <a:lumOff val="5000"/>
              </a:schemeClr>
            </a:solidFill>
          </a:endParaRPr>
        </a:p>
      </cdr:txBody>
    </cdr:sp>
  </cdr:relSizeAnchor>
  <cdr:relSizeAnchor xmlns:cdr="http://schemas.openxmlformats.org/drawingml/2006/chartDrawing">
    <cdr:from>
      <cdr:x>0.84026</cdr:x>
      <cdr:y>0.00985</cdr:y>
    </cdr:from>
    <cdr:to>
      <cdr:x>1</cdr:x>
      <cdr:y>0.28818</cdr:y>
    </cdr:to>
    <cdr:sp macro="" textlink="">
      <cdr:nvSpPr>
        <cdr:cNvPr id="10" name="TextBox 9"/>
        <cdr:cNvSpPr txBox="1"/>
      </cdr:nvSpPr>
      <cdr:spPr>
        <a:xfrm xmlns:a="http://schemas.openxmlformats.org/drawingml/2006/main">
          <a:off x="5010150" y="38100"/>
          <a:ext cx="952500" cy="10763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100">
              <a:solidFill>
                <a:schemeClr val="tx1">
                  <a:lumMod val="95000"/>
                  <a:lumOff val="5000"/>
                </a:schemeClr>
              </a:solidFill>
            </a:rPr>
            <a:t>Vented Attic</a:t>
          </a:r>
        </a:p>
        <a:p xmlns:a="http://schemas.openxmlformats.org/drawingml/2006/main">
          <a:endParaRPr lang="en-US" sz="1100">
            <a:solidFill>
              <a:schemeClr val="tx1">
                <a:lumMod val="95000"/>
                <a:lumOff val="5000"/>
              </a:schemeClr>
            </a:solidFill>
          </a:endParaRPr>
        </a:p>
        <a:p xmlns:a="http://schemas.openxmlformats.org/drawingml/2006/main">
          <a:r>
            <a:rPr lang="en-US" sz="1100">
              <a:solidFill>
                <a:schemeClr val="tx1">
                  <a:lumMod val="95000"/>
                  <a:lumOff val="5000"/>
                </a:schemeClr>
              </a:solidFill>
            </a:rPr>
            <a:t>Mean</a:t>
          </a:r>
          <a:r>
            <a:rPr lang="en-US" sz="1100" baseline="0">
              <a:solidFill>
                <a:schemeClr val="tx1">
                  <a:lumMod val="95000"/>
                  <a:lumOff val="5000"/>
                </a:schemeClr>
              </a:solidFill>
            </a:rPr>
            <a:t> &amp; Median: 1.98</a:t>
          </a:r>
          <a:endParaRPr lang="en-US" sz="1100">
            <a:solidFill>
              <a:schemeClr val="tx1">
                <a:lumMod val="95000"/>
                <a:lumOff val="5000"/>
              </a:schemeClr>
            </a:solidFill>
          </a:endParaRPr>
        </a:p>
      </cdr:txBody>
    </cdr:sp>
  </cdr:relSizeAnchor>
  <cdr:relSizeAnchor xmlns:cdr="http://schemas.openxmlformats.org/drawingml/2006/chartDrawing">
    <cdr:from>
      <cdr:x>0</cdr:x>
      <cdr:y>0</cdr:y>
    </cdr:from>
    <cdr:to>
      <cdr:x>0</cdr:x>
      <cdr:y>0</cdr:y>
    </cdr:to>
    <cdr:sp macro="" textlink="">
      <cdr:nvSpPr>
        <cdr:cNvPr id="15" name="Straight Connector 14"/>
        <cdr:cNvSpPr/>
      </cdr:nvSpPr>
      <cdr:spPr>
        <a:xfrm xmlns:a="http://schemas.openxmlformats.org/drawingml/2006/main" flipV="1">
          <a:off x="-2686050" y="-10839450"/>
          <a:ext cx="0" cy="0"/>
        </a:xfrm>
        <a:prstGeom xmlns:a="http://schemas.openxmlformats.org/drawingml/2006/main" prst="line">
          <a:avLst/>
        </a:prstGeom>
        <a:ln xmlns:a="http://schemas.openxmlformats.org/drawingml/2006/main" w="25400">
          <a:solidFill>
            <a:srgbClr val="FF0000"/>
          </a:solidFill>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0.53834</cdr:x>
      <cdr:y>0.26848</cdr:y>
    </cdr:from>
    <cdr:to>
      <cdr:x>0.8131</cdr:x>
      <cdr:y>0.34237</cdr:y>
    </cdr:to>
    <cdr:sp macro="" textlink="">
      <cdr:nvSpPr>
        <cdr:cNvPr id="16" name="TextBox 15"/>
        <cdr:cNvSpPr txBox="1"/>
      </cdr:nvSpPr>
      <cdr:spPr>
        <a:xfrm xmlns:a="http://schemas.openxmlformats.org/drawingml/2006/main">
          <a:off x="3209951" y="1038241"/>
          <a:ext cx="1638298" cy="28574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050" b="0">
              <a:solidFill>
                <a:schemeClr val="tx1">
                  <a:lumMod val="95000"/>
                  <a:lumOff val="5000"/>
                </a:schemeClr>
              </a:solidFill>
            </a:rPr>
            <a:t>Interior air control</a:t>
          </a:r>
          <a:r>
            <a:rPr lang="en-US" sz="1050" b="0" baseline="0">
              <a:solidFill>
                <a:schemeClr val="tx1">
                  <a:lumMod val="95000"/>
                  <a:lumOff val="5000"/>
                </a:schemeClr>
              </a:solidFill>
            </a:rPr>
            <a:t> layer</a:t>
          </a:r>
          <a:endParaRPr lang="en-US" sz="1050" b="0">
            <a:solidFill>
              <a:schemeClr val="tx1">
                <a:lumMod val="95000"/>
                <a:lumOff val="5000"/>
              </a:schemeClr>
            </a:solidFill>
          </a:endParaRPr>
        </a:p>
      </cdr:txBody>
    </cdr:sp>
  </cdr:relSizeAnchor>
  <cdr:relSizeAnchor xmlns:cdr="http://schemas.openxmlformats.org/drawingml/2006/chartDrawing">
    <cdr:from>
      <cdr:x>0.14697</cdr:x>
      <cdr:y>0.2734</cdr:y>
    </cdr:from>
    <cdr:to>
      <cdr:x>0.42492</cdr:x>
      <cdr:y>0.33743</cdr:y>
    </cdr:to>
    <cdr:sp macro="" textlink="">
      <cdr:nvSpPr>
        <cdr:cNvPr id="17" name="TextBox 16"/>
        <cdr:cNvSpPr txBox="1"/>
      </cdr:nvSpPr>
      <cdr:spPr>
        <a:xfrm xmlns:a="http://schemas.openxmlformats.org/drawingml/2006/main">
          <a:off x="876331" y="1057275"/>
          <a:ext cx="1657318" cy="24761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050">
              <a:solidFill>
                <a:schemeClr val="tx1">
                  <a:lumMod val="95000"/>
                  <a:lumOff val="5000"/>
                </a:schemeClr>
              </a:solidFill>
            </a:rPr>
            <a:t>Exterior air control layer</a:t>
          </a:r>
        </a:p>
      </cdr:txBody>
    </cdr:sp>
  </cdr:relSizeAnchor>
  <cdr:relSizeAnchor xmlns:cdr="http://schemas.openxmlformats.org/drawingml/2006/chartDrawing">
    <cdr:from>
      <cdr:x>0.50799</cdr:x>
      <cdr:y>0.2931</cdr:y>
    </cdr:from>
    <cdr:to>
      <cdr:x>0.50799</cdr:x>
      <cdr:y>0.75369</cdr:y>
    </cdr:to>
    <cdr:sp macro="" textlink="">
      <cdr:nvSpPr>
        <cdr:cNvPr id="19" name="Straight Connector 18"/>
        <cdr:cNvSpPr/>
      </cdr:nvSpPr>
      <cdr:spPr>
        <a:xfrm xmlns:a="http://schemas.openxmlformats.org/drawingml/2006/main" flipV="1">
          <a:off x="3028973" y="1133462"/>
          <a:ext cx="0" cy="1781170"/>
        </a:xfrm>
        <a:prstGeom xmlns:a="http://schemas.openxmlformats.org/drawingml/2006/main" prst="line">
          <a:avLst/>
        </a:prstGeom>
        <a:ln xmlns:a="http://schemas.openxmlformats.org/drawingml/2006/main" w="25400">
          <a:solidFill>
            <a:schemeClr val="tx1"/>
          </a:solidFill>
          <a:prstDash val="lg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0.20288</cdr:x>
      <cdr:y>0.35222</cdr:y>
    </cdr:from>
    <cdr:to>
      <cdr:x>0.38179</cdr:x>
      <cdr:y>0.46798</cdr:y>
    </cdr:to>
    <cdr:sp macro="" textlink="">
      <cdr:nvSpPr>
        <cdr:cNvPr id="20" name="TextBox 19"/>
        <cdr:cNvSpPr txBox="1"/>
      </cdr:nvSpPr>
      <cdr:spPr>
        <a:xfrm xmlns:a="http://schemas.openxmlformats.org/drawingml/2006/main">
          <a:off x="1209702" y="1362075"/>
          <a:ext cx="1066778" cy="44767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050">
              <a:solidFill>
                <a:schemeClr val="tx1">
                  <a:lumMod val="95000"/>
                  <a:lumOff val="5000"/>
                </a:schemeClr>
              </a:solidFill>
            </a:rPr>
            <a:t>Mean: 1.40</a:t>
          </a:r>
        </a:p>
        <a:p xmlns:a="http://schemas.openxmlformats.org/drawingml/2006/main">
          <a:r>
            <a:rPr lang="en-US" sz="1050">
              <a:solidFill>
                <a:schemeClr val="tx1">
                  <a:lumMod val="95000"/>
                  <a:lumOff val="5000"/>
                </a:schemeClr>
              </a:solidFill>
            </a:rPr>
            <a:t>Median</a:t>
          </a:r>
          <a:r>
            <a:rPr lang="en-US" sz="1050" baseline="0">
              <a:solidFill>
                <a:schemeClr val="tx1">
                  <a:lumMod val="95000"/>
                  <a:lumOff val="5000"/>
                </a:schemeClr>
              </a:solidFill>
            </a:rPr>
            <a:t>: 1.04</a:t>
          </a:r>
          <a:endParaRPr lang="en-US" sz="1050">
            <a:solidFill>
              <a:schemeClr val="tx1">
                <a:lumMod val="95000"/>
                <a:lumOff val="5000"/>
              </a:schemeClr>
            </a:solidFill>
          </a:endParaRPr>
        </a:p>
      </cdr:txBody>
    </cdr:sp>
  </cdr:relSizeAnchor>
  <cdr:relSizeAnchor xmlns:cdr="http://schemas.openxmlformats.org/drawingml/2006/chartDrawing">
    <cdr:from>
      <cdr:x>0.51757</cdr:x>
      <cdr:y>0.35714</cdr:y>
    </cdr:from>
    <cdr:to>
      <cdr:x>0.80831</cdr:x>
      <cdr:y>0.50246</cdr:y>
    </cdr:to>
    <cdr:sp macro="" textlink="">
      <cdr:nvSpPr>
        <cdr:cNvPr id="21" name="TextBox 20"/>
        <cdr:cNvSpPr txBox="1"/>
      </cdr:nvSpPr>
      <cdr:spPr>
        <a:xfrm xmlns:a="http://schemas.openxmlformats.org/drawingml/2006/main">
          <a:off x="3086089" y="1381125"/>
          <a:ext cx="1733581" cy="56196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050">
              <a:solidFill>
                <a:schemeClr val="tx1">
                  <a:lumMod val="95000"/>
                  <a:lumOff val="5000"/>
                </a:schemeClr>
              </a:solidFill>
            </a:rPr>
            <a:t>Mean w/o Arlington:  1.52</a:t>
          </a:r>
        </a:p>
        <a:p xmlns:a="http://schemas.openxmlformats.org/drawingml/2006/main">
          <a:r>
            <a:rPr lang="en-US" sz="1050">
              <a:solidFill>
                <a:schemeClr val="tx1">
                  <a:lumMod val="95000"/>
                  <a:lumOff val="5000"/>
                </a:schemeClr>
              </a:solidFill>
            </a:rPr>
            <a:t>Median w/o Arlington:</a:t>
          </a:r>
          <a:r>
            <a:rPr lang="en-US" sz="1050" baseline="0">
              <a:solidFill>
                <a:schemeClr val="tx1">
                  <a:lumMod val="95000"/>
                  <a:lumOff val="5000"/>
                </a:schemeClr>
              </a:solidFill>
            </a:rPr>
            <a:t> 1.47</a:t>
          </a:r>
        </a:p>
        <a:p xmlns:a="http://schemas.openxmlformats.org/drawingml/2006/main">
          <a:endParaRPr lang="en-US" sz="1050">
            <a:solidFill>
              <a:srgbClr val="0070C0"/>
            </a:solidFill>
          </a:endParaRPr>
        </a:p>
      </cdr:txBody>
    </cdr:sp>
  </cdr:relSizeAnchor>
  <cdr:relSizeAnchor xmlns:cdr="http://schemas.openxmlformats.org/drawingml/2006/chartDrawing">
    <cdr:from>
      <cdr:x>0.00959</cdr:x>
      <cdr:y>0</cdr:y>
    </cdr:from>
    <cdr:to>
      <cdr:x>0.05431</cdr:x>
      <cdr:y>0.18966</cdr:y>
    </cdr:to>
    <cdr:sp macro="" textlink="">
      <cdr:nvSpPr>
        <cdr:cNvPr id="14" name="TextBox 13"/>
        <cdr:cNvSpPr txBox="1"/>
      </cdr:nvSpPr>
      <cdr:spPr>
        <a:xfrm xmlns:a="http://schemas.openxmlformats.org/drawingml/2006/main" rot="16200000">
          <a:off x="-176211" y="233365"/>
          <a:ext cx="733425" cy="26669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000"/>
            <a:t>ACH50</a:t>
          </a:r>
        </a:p>
      </cdr:txBody>
    </cdr:sp>
  </cdr:relSizeAnchor>
</c:userShapes>
</file>

<file path=xl/drawings/drawing23.xml><?xml version="1.0" encoding="utf-8"?>
<c:userShapes xmlns:c="http://schemas.openxmlformats.org/drawingml/2006/chart">
  <cdr:relSizeAnchor xmlns:cdr="http://schemas.openxmlformats.org/drawingml/2006/chartDrawing">
    <cdr:from>
      <cdr:x>0.84345</cdr:x>
      <cdr:y>0.05665</cdr:y>
    </cdr:from>
    <cdr:to>
      <cdr:x>0.84576</cdr:x>
      <cdr:y>0.75868</cdr:y>
    </cdr:to>
    <cdr:sp macro="" textlink="">
      <cdr:nvSpPr>
        <cdr:cNvPr id="5" name="Straight Connector 4"/>
        <cdr:cNvSpPr/>
      </cdr:nvSpPr>
      <cdr:spPr>
        <a:xfrm xmlns:a="http://schemas.openxmlformats.org/drawingml/2006/main" flipH="1" flipV="1">
          <a:off x="5029200" y="219075"/>
          <a:ext cx="13756" cy="2714839"/>
        </a:xfrm>
        <a:prstGeom xmlns:a="http://schemas.openxmlformats.org/drawingml/2006/main" prst="line">
          <a:avLst/>
        </a:prstGeom>
        <a:ln xmlns:a="http://schemas.openxmlformats.org/drawingml/2006/main" w="25400">
          <a:solidFill>
            <a:schemeClr val="tx1"/>
          </a:solidFill>
          <a:prstDash val="solid"/>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0.39378</cdr:x>
      <cdr:y>0.01058</cdr:y>
    </cdr:from>
    <cdr:to>
      <cdr:x>0.59727</cdr:x>
      <cdr:y>0.17743</cdr:y>
    </cdr:to>
    <cdr:sp macro="" textlink="">
      <cdr:nvSpPr>
        <cdr:cNvPr id="9" name="TextBox 8"/>
        <cdr:cNvSpPr txBox="1"/>
      </cdr:nvSpPr>
      <cdr:spPr>
        <a:xfrm xmlns:a="http://schemas.openxmlformats.org/drawingml/2006/main">
          <a:off x="2654300" y="38100"/>
          <a:ext cx="1371600" cy="600743"/>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rtlCol="0" anchor="t"/>
        <a:lstStyle xmlns:a="http://schemas.openxmlformats.org/drawingml/2006/main"/>
        <a:p xmlns:a="http://schemas.openxmlformats.org/drawingml/2006/main">
          <a:pPr algn="ctr"/>
          <a:r>
            <a:rPr lang="en-US" sz="1200" b="1">
              <a:solidFill>
                <a:schemeClr val="tx1">
                  <a:lumMod val="95000"/>
                  <a:lumOff val="5000"/>
                </a:schemeClr>
              </a:solidFill>
            </a:rPr>
            <a:t>Unvented </a:t>
          </a:r>
          <a:r>
            <a:rPr lang="en-US" sz="1200" b="1" baseline="0">
              <a:solidFill>
                <a:schemeClr val="tx1">
                  <a:lumMod val="95000"/>
                  <a:lumOff val="5000"/>
                </a:schemeClr>
              </a:solidFill>
            </a:rPr>
            <a:t>Attic</a:t>
          </a:r>
        </a:p>
        <a:p xmlns:a="http://schemas.openxmlformats.org/drawingml/2006/main">
          <a:pPr algn="ctr"/>
          <a:r>
            <a:rPr lang="en-US" sz="1200" baseline="0">
              <a:solidFill>
                <a:schemeClr val="tx1">
                  <a:lumMod val="95000"/>
                  <a:lumOff val="5000"/>
                </a:schemeClr>
              </a:solidFill>
            </a:rPr>
            <a:t>Mean : 2.0</a:t>
          </a:r>
        </a:p>
        <a:p xmlns:a="http://schemas.openxmlformats.org/drawingml/2006/main">
          <a:pPr algn="ctr"/>
          <a:r>
            <a:rPr lang="en-US" sz="1200" baseline="0">
              <a:solidFill>
                <a:schemeClr val="tx1">
                  <a:lumMod val="95000"/>
                  <a:lumOff val="5000"/>
                </a:schemeClr>
              </a:solidFill>
            </a:rPr>
            <a:t>Median: 1.4</a:t>
          </a:r>
        </a:p>
        <a:p xmlns:a="http://schemas.openxmlformats.org/drawingml/2006/main">
          <a:pPr algn="ctr"/>
          <a:endParaRPr lang="en-US" sz="1200">
            <a:solidFill>
              <a:schemeClr val="tx1">
                <a:lumMod val="95000"/>
                <a:lumOff val="5000"/>
              </a:schemeClr>
            </a:solidFill>
          </a:endParaRPr>
        </a:p>
      </cdr:txBody>
    </cdr:sp>
  </cdr:relSizeAnchor>
  <cdr:relSizeAnchor xmlns:cdr="http://schemas.openxmlformats.org/drawingml/2006/chartDrawing">
    <cdr:from>
      <cdr:x>0.84597</cdr:x>
      <cdr:y>0.00985</cdr:y>
    </cdr:from>
    <cdr:to>
      <cdr:x>0.99058</cdr:x>
      <cdr:y>0.19753</cdr:y>
    </cdr:to>
    <cdr:sp macro="" textlink="">
      <cdr:nvSpPr>
        <cdr:cNvPr id="10" name="TextBox 9"/>
        <cdr:cNvSpPr txBox="1"/>
      </cdr:nvSpPr>
      <cdr:spPr>
        <a:xfrm xmlns:a="http://schemas.openxmlformats.org/drawingml/2006/main">
          <a:off x="5702300" y="35464"/>
          <a:ext cx="974725" cy="675736"/>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rtlCol="0"/>
        <a:lstStyle xmlns:a="http://schemas.openxmlformats.org/drawingml/2006/main"/>
        <a:p xmlns:a="http://schemas.openxmlformats.org/drawingml/2006/main">
          <a:pPr algn="ctr"/>
          <a:r>
            <a:rPr lang="en-US" sz="1200" b="1">
              <a:solidFill>
                <a:schemeClr val="tx1">
                  <a:lumMod val="95000"/>
                  <a:lumOff val="5000"/>
                </a:schemeClr>
              </a:solidFill>
            </a:rPr>
            <a:t>Vented Attic</a:t>
          </a:r>
        </a:p>
        <a:p xmlns:a="http://schemas.openxmlformats.org/drawingml/2006/main">
          <a:pPr algn="ctr"/>
          <a:r>
            <a:rPr lang="en-US" sz="1200">
              <a:solidFill>
                <a:schemeClr val="tx1">
                  <a:lumMod val="95000"/>
                  <a:lumOff val="5000"/>
                </a:schemeClr>
              </a:solidFill>
            </a:rPr>
            <a:t>Mean</a:t>
          </a:r>
          <a:r>
            <a:rPr lang="en-US" sz="1200" baseline="0">
              <a:solidFill>
                <a:schemeClr val="tx1">
                  <a:lumMod val="95000"/>
                  <a:lumOff val="5000"/>
                </a:schemeClr>
              </a:solidFill>
            </a:rPr>
            <a:t> &amp; Median: 2.0</a:t>
          </a:r>
        </a:p>
      </cdr:txBody>
    </cdr:sp>
  </cdr:relSizeAnchor>
  <cdr:relSizeAnchor xmlns:cdr="http://schemas.openxmlformats.org/drawingml/2006/chartDrawing">
    <cdr:from>
      <cdr:x>0</cdr:x>
      <cdr:y>0</cdr:y>
    </cdr:from>
    <cdr:to>
      <cdr:x>0</cdr:x>
      <cdr:y>0</cdr:y>
    </cdr:to>
    <cdr:sp macro="" textlink="">
      <cdr:nvSpPr>
        <cdr:cNvPr id="15" name="Straight Connector 14"/>
        <cdr:cNvSpPr/>
      </cdr:nvSpPr>
      <cdr:spPr>
        <a:xfrm xmlns:a="http://schemas.openxmlformats.org/drawingml/2006/main" flipV="1">
          <a:off x="-2686050" y="-10839450"/>
          <a:ext cx="0" cy="0"/>
        </a:xfrm>
        <a:prstGeom xmlns:a="http://schemas.openxmlformats.org/drawingml/2006/main" prst="line">
          <a:avLst/>
        </a:prstGeom>
        <a:ln xmlns:a="http://schemas.openxmlformats.org/drawingml/2006/main" w="25400">
          <a:solidFill>
            <a:srgbClr val="FF0000"/>
          </a:solidFill>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0.52727</cdr:x>
      <cdr:y>0.15913</cdr:y>
    </cdr:from>
    <cdr:to>
      <cdr:x>0.77438</cdr:x>
      <cdr:y>0.22222</cdr:y>
    </cdr:to>
    <cdr:sp macro="" textlink="">
      <cdr:nvSpPr>
        <cdr:cNvPr id="16" name="TextBox 15"/>
        <cdr:cNvSpPr txBox="1"/>
      </cdr:nvSpPr>
      <cdr:spPr>
        <a:xfrm xmlns:a="http://schemas.openxmlformats.org/drawingml/2006/main">
          <a:off x="3683000" y="654799"/>
          <a:ext cx="1726017" cy="259601"/>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rtlCol="0" anchor="ctr"/>
        <a:lstStyle xmlns:a="http://schemas.openxmlformats.org/drawingml/2006/main"/>
        <a:p xmlns:a="http://schemas.openxmlformats.org/drawingml/2006/main">
          <a:pPr algn="ctr"/>
          <a:r>
            <a:rPr lang="en-US" sz="1200" b="1">
              <a:solidFill>
                <a:schemeClr val="tx1">
                  <a:lumMod val="95000"/>
                  <a:lumOff val="5000"/>
                </a:schemeClr>
              </a:solidFill>
            </a:rPr>
            <a:t>Interior air control</a:t>
          </a:r>
          <a:r>
            <a:rPr lang="en-US" sz="1200" b="1" baseline="0">
              <a:solidFill>
                <a:schemeClr val="tx1">
                  <a:lumMod val="95000"/>
                  <a:lumOff val="5000"/>
                </a:schemeClr>
              </a:solidFill>
            </a:rPr>
            <a:t> layer</a:t>
          </a:r>
          <a:endParaRPr lang="en-US" sz="1200" b="1">
            <a:solidFill>
              <a:schemeClr val="tx1">
                <a:lumMod val="95000"/>
                <a:lumOff val="5000"/>
              </a:schemeClr>
            </a:solidFill>
          </a:endParaRPr>
        </a:p>
      </cdr:txBody>
    </cdr:sp>
  </cdr:relSizeAnchor>
  <cdr:relSizeAnchor xmlns:cdr="http://schemas.openxmlformats.org/drawingml/2006/chartDrawing">
    <cdr:from>
      <cdr:x>0.13273</cdr:x>
      <cdr:y>0.15171</cdr:y>
    </cdr:from>
    <cdr:to>
      <cdr:x>0.3958</cdr:x>
      <cdr:y>0.21605</cdr:y>
    </cdr:to>
    <cdr:sp macro="" textlink="">
      <cdr:nvSpPr>
        <cdr:cNvPr id="17" name="TextBox 16"/>
        <cdr:cNvSpPr txBox="1"/>
      </cdr:nvSpPr>
      <cdr:spPr>
        <a:xfrm xmlns:a="http://schemas.openxmlformats.org/drawingml/2006/main">
          <a:off x="927100" y="624243"/>
          <a:ext cx="1837552" cy="264757"/>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rtlCol="0" anchor="ctr"/>
        <a:lstStyle xmlns:a="http://schemas.openxmlformats.org/drawingml/2006/main"/>
        <a:p xmlns:a="http://schemas.openxmlformats.org/drawingml/2006/main">
          <a:pPr algn="ctr"/>
          <a:r>
            <a:rPr lang="en-US" sz="1200" b="1">
              <a:solidFill>
                <a:schemeClr val="tx1">
                  <a:lumMod val="95000"/>
                  <a:lumOff val="5000"/>
                </a:schemeClr>
              </a:solidFill>
            </a:rPr>
            <a:t>Exterior air control layer</a:t>
          </a:r>
        </a:p>
      </cdr:txBody>
    </cdr:sp>
  </cdr:relSizeAnchor>
  <cdr:relSizeAnchor xmlns:cdr="http://schemas.openxmlformats.org/drawingml/2006/chartDrawing">
    <cdr:from>
      <cdr:x>0.50799</cdr:x>
      <cdr:y>0.2931</cdr:y>
    </cdr:from>
    <cdr:to>
      <cdr:x>0.50799</cdr:x>
      <cdr:y>0.75369</cdr:y>
    </cdr:to>
    <cdr:sp macro="" textlink="">
      <cdr:nvSpPr>
        <cdr:cNvPr id="19" name="Straight Connector 18"/>
        <cdr:cNvSpPr/>
      </cdr:nvSpPr>
      <cdr:spPr>
        <a:xfrm xmlns:a="http://schemas.openxmlformats.org/drawingml/2006/main" flipV="1">
          <a:off x="3028973" y="1133462"/>
          <a:ext cx="0" cy="1781170"/>
        </a:xfrm>
        <a:prstGeom xmlns:a="http://schemas.openxmlformats.org/drawingml/2006/main" prst="line">
          <a:avLst/>
        </a:prstGeom>
        <a:ln xmlns:a="http://schemas.openxmlformats.org/drawingml/2006/main" w="25400">
          <a:solidFill>
            <a:schemeClr val="tx1"/>
          </a:solidFill>
          <a:prstDash val="lg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0.18807</cdr:x>
      <cdr:y>0.21598</cdr:y>
    </cdr:from>
    <cdr:to>
      <cdr:x>0.36698</cdr:x>
      <cdr:y>0.33174</cdr:y>
    </cdr:to>
    <cdr:sp macro="" textlink="">
      <cdr:nvSpPr>
        <cdr:cNvPr id="20" name="TextBox 19"/>
        <cdr:cNvSpPr txBox="1"/>
      </cdr:nvSpPr>
      <cdr:spPr>
        <a:xfrm xmlns:a="http://schemas.openxmlformats.org/drawingml/2006/main">
          <a:off x="1313675" y="888700"/>
          <a:ext cx="1249686" cy="476330"/>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rtlCol="0"/>
        <a:lstStyle xmlns:a="http://schemas.openxmlformats.org/drawingml/2006/main"/>
        <a:p xmlns:a="http://schemas.openxmlformats.org/drawingml/2006/main">
          <a:r>
            <a:rPr lang="en-US" sz="1200">
              <a:solidFill>
                <a:schemeClr val="tx1">
                  <a:lumMod val="95000"/>
                  <a:lumOff val="5000"/>
                </a:schemeClr>
              </a:solidFill>
            </a:rPr>
            <a:t>Mean: 1.4</a:t>
          </a:r>
        </a:p>
        <a:p xmlns:a="http://schemas.openxmlformats.org/drawingml/2006/main">
          <a:r>
            <a:rPr lang="en-US" sz="1200">
              <a:solidFill>
                <a:schemeClr val="tx1">
                  <a:lumMod val="95000"/>
                  <a:lumOff val="5000"/>
                </a:schemeClr>
              </a:solidFill>
            </a:rPr>
            <a:t>Median</a:t>
          </a:r>
          <a:r>
            <a:rPr lang="en-US" sz="1200" baseline="0">
              <a:solidFill>
                <a:schemeClr val="tx1">
                  <a:lumMod val="95000"/>
                  <a:lumOff val="5000"/>
                </a:schemeClr>
              </a:solidFill>
            </a:rPr>
            <a:t>: 1.0</a:t>
          </a:r>
          <a:endParaRPr lang="en-US" sz="1200">
            <a:solidFill>
              <a:schemeClr val="tx1">
                <a:lumMod val="95000"/>
                <a:lumOff val="5000"/>
              </a:schemeClr>
            </a:solidFill>
          </a:endParaRPr>
        </a:p>
      </cdr:txBody>
    </cdr:sp>
  </cdr:relSizeAnchor>
  <cdr:relSizeAnchor xmlns:cdr="http://schemas.openxmlformats.org/drawingml/2006/chartDrawing">
    <cdr:from>
      <cdr:x>0.59105</cdr:x>
      <cdr:y>0.21252</cdr:y>
    </cdr:from>
    <cdr:to>
      <cdr:x>0.77249</cdr:x>
      <cdr:y>0.33862</cdr:y>
    </cdr:to>
    <cdr:sp macro="" textlink="">
      <cdr:nvSpPr>
        <cdr:cNvPr id="21" name="TextBox 20"/>
        <cdr:cNvSpPr txBox="1"/>
      </cdr:nvSpPr>
      <cdr:spPr>
        <a:xfrm xmlns:a="http://schemas.openxmlformats.org/drawingml/2006/main">
          <a:off x="3983994" y="765165"/>
          <a:ext cx="1223006" cy="454035"/>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rtlCol="0"/>
        <a:lstStyle xmlns:a="http://schemas.openxmlformats.org/drawingml/2006/main"/>
        <a:p xmlns:a="http://schemas.openxmlformats.org/drawingml/2006/main">
          <a:r>
            <a:rPr lang="en-US" sz="1200">
              <a:solidFill>
                <a:schemeClr val="tx1">
                  <a:lumMod val="95000"/>
                  <a:lumOff val="5000"/>
                </a:schemeClr>
              </a:solidFill>
            </a:rPr>
            <a:t>Mean:  2.7</a:t>
          </a:r>
        </a:p>
        <a:p xmlns:a="http://schemas.openxmlformats.org/drawingml/2006/main">
          <a:r>
            <a:rPr lang="en-US" sz="1200">
              <a:solidFill>
                <a:schemeClr val="tx1">
                  <a:lumMod val="95000"/>
                  <a:lumOff val="5000"/>
                </a:schemeClr>
              </a:solidFill>
            </a:rPr>
            <a:t>Median:</a:t>
          </a:r>
          <a:r>
            <a:rPr lang="en-US" sz="1200" baseline="0">
              <a:solidFill>
                <a:schemeClr val="tx1">
                  <a:lumMod val="95000"/>
                  <a:lumOff val="5000"/>
                </a:schemeClr>
              </a:solidFill>
            </a:rPr>
            <a:t> 1.5</a:t>
          </a:r>
        </a:p>
        <a:p xmlns:a="http://schemas.openxmlformats.org/drawingml/2006/main">
          <a:endParaRPr lang="en-US" sz="1200">
            <a:solidFill>
              <a:srgbClr val="0070C0"/>
            </a:solidFill>
          </a:endParaRPr>
        </a:p>
      </cdr:txBody>
    </cdr:sp>
  </cdr:relSizeAnchor>
  <cdr:relSizeAnchor xmlns:cdr="http://schemas.openxmlformats.org/drawingml/2006/chartDrawing">
    <cdr:from>
      <cdr:x>0.00959</cdr:x>
      <cdr:y>0</cdr:y>
    </cdr:from>
    <cdr:to>
      <cdr:x>0.05431</cdr:x>
      <cdr:y>0.18966</cdr:y>
    </cdr:to>
    <cdr:sp macro="" textlink="">
      <cdr:nvSpPr>
        <cdr:cNvPr id="14" name="TextBox 13"/>
        <cdr:cNvSpPr txBox="1"/>
      </cdr:nvSpPr>
      <cdr:spPr>
        <a:xfrm xmlns:a="http://schemas.openxmlformats.org/drawingml/2006/main" rot="16200000">
          <a:off x="-176211" y="233365"/>
          <a:ext cx="733425" cy="26669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400"/>
            <a:t>ACH50</a:t>
          </a:r>
        </a:p>
      </cdr:txBody>
    </cdr:sp>
  </cdr:relSizeAnchor>
  <cdr:relSizeAnchor xmlns:cdr="http://schemas.openxmlformats.org/drawingml/2006/chartDrawing">
    <cdr:from>
      <cdr:x>0.56712</cdr:x>
      <cdr:y>0.43386</cdr:y>
    </cdr:from>
    <cdr:to>
      <cdr:x>0.74856</cdr:x>
      <cdr:y>0.55997</cdr:y>
    </cdr:to>
    <cdr:sp macro="" textlink="">
      <cdr:nvSpPr>
        <cdr:cNvPr id="12" name="TextBox 11"/>
        <cdr:cNvSpPr txBox="1"/>
      </cdr:nvSpPr>
      <cdr:spPr>
        <a:xfrm xmlns:a="http://schemas.openxmlformats.org/drawingml/2006/main">
          <a:off x="3822700" y="1562100"/>
          <a:ext cx="1223006" cy="454035"/>
        </a:xfrm>
        <a:prstGeom xmlns:a="http://schemas.openxmlformats.org/drawingml/2006/main" prst="rect">
          <a:avLst/>
        </a:prstGeom>
        <a:solidFill xmlns:a="http://schemas.openxmlformats.org/drawingml/2006/main">
          <a:schemeClr val="bg1"/>
        </a:solidFill>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200">
              <a:solidFill>
                <a:schemeClr val="tx1">
                  <a:lumMod val="95000"/>
                  <a:lumOff val="5000"/>
                </a:schemeClr>
              </a:solidFill>
            </a:rPr>
            <a:t>Mean:  1.5</a:t>
          </a:r>
        </a:p>
        <a:p xmlns:a="http://schemas.openxmlformats.org/drawingml/2006/main">
          <a:r>
            <a:rPr lang="en-US" sz="1200">
              <a:solidFill>
                <a:schemeClr val="tx1">
                  <a:lumMod val="95000"/>
                  <a:lumOff val="5000"/>
                </a:schemeClr>
              </a:solidFill>
            </a:rPr>
            <a:t>Median:</a:t>
          </a:r>
          <a:r>
            <a:rPr lang="en-US" sz="1200" baseline="0">
              <a:solidFill>
                <a:schemeClr val="tx1">
                  <a:lumMod val="95000"/>
                  <a:lumOff val="5000"/>
                </a:schemeClr>
              </a:solidFill>
            </a:rPr>
            <a:t> 1.5</a:t>
          </a:r>
        </a:p>
        <a:p xmlns:a="http://schemas.openxmlformats.org/drawingml/2006/main">
          <a:endParaRPr lang="en-US" sz="1200">
            <a:solidFill>
              <a:srgbClr val="0070C0"/>
            </a:solidFill>
          </a:endParaRPr>
        </a:p>
      </cdr:txBody>
    </cdr:sp>
  </cdr:relSizeAnchor>
  <cdr:relSizeAnchor xmlns:cdr="http://schemas.openxmlformats.org/drawingml/2006/chartDrawing">
    <cdr:from>
      <cdr:x>0.16957</cdr:x>
      <cdr:y>0.44797</cdr:y>
    </cdr:from>
    <cdr:to>
      <cdr:x>0.34848</cdr:x>
      <cdr:y>0.56373</cdr:y>
    </cdr:to>
    <cdr:sp macro="" textlink="">
      <cdr:nvSpPr>
        <cdr:cNvPr id="13" name="TextBox 12"/>
        <cdr:cNvSpPr txBox="1"/>
      </cdr:nvSpPr>
      <cdr:spPr>
        <a:xfrm xmlns:a="http://schemas.openxmlformats.org/drawingml/2006/main">
          <a:off x="1143000" y="1612900"/>
          <a:ext cx="1205947" cy="416789"/>
        </a:xfrm>
        <a:prstGeom xmlns:a="http://schemas.openxmlformats.org/drawingml/2006/main" prst="rect">
          <a:avLst/>
        </a:prstGeom>
        <a:solidFill xmlns:a="http://schemas.openxmlformats.org/drawingml/2006/main">
          <a:schemeClr val="bg1"/>
        </a:solidFill>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200">
              <a:solidFill>
                <a:schemeClr val="tx1">
                  <a:lumMod val="95000"/>
                  <a:lumOff val="5000"/>
                </a:schemeClr>
              </a:solidFill>
            </a:rPr>
            <a:t>Mean: 1.0</a:t>
          </a:r>
        </a:p>
        <a:p xmlns:a="http://schemas.openxmlformats.org/drawingml/2006/main">
          <a:r>
            <a:rPr lang="en-US" sz="1200">
              <a:solidFill>
                <a:schemeClr val="tx1">
                  <a:lumMod val="95000"/>
                  <a:lumOff val="5000"/>
                </a:schemeClr>
              </a:solidFill>
            </a:rPr>
            <a:t>Median</a:t>
          </a:r>
          <a:r>
            <a:rPr lang="en-US" sz="1200" baseline="0">
              <a:solidFill>
                <a:schemeClr val="tx1">
                  <a:lumMod val="95000"/>
                  <a:lumOff val="5000"/>
                </a:schemeClr>
              </a:solidFill>
            </a:rPr>
            <a:t>: 0.8</a:t>
          </a:r>
          <a:endParaRPr lang="en-US" sz="1200">
            <a:solidFill>
              <a:schemeClr val="tx1">
                <a:lumMod val="95000"/>
                <a:lumOff val="5000"/>
              </a:schemeClr>
            </a:solidFill>
          </a:endParaRPr>
        </a:p>
      </cdr:txBody>
    </cdr:sp>
  </cdr:relSizeAnchor>
</c:userShapes>
</file>

<file path=xl/drawings/drawing24.xml><?xml version="1.0" encoding="utf-8"?>
<xdr:wsDr xmlns:xdr="http://schemas.openxmlformats.org/drawingml/2006/spreadsheetDrawing" xmlns:a="http://schemas.openxmlformats.org/drawingml/2006/main">
  <xdr:twoCellAnchor>
    <xdr:from>
      <xdr:col>3</xdr:col>
      <xdr:colOff>828675</xdr:colOff>
      <xdr:row>64</xdr:row>
      <xdr:rowOff>171450</xdr:rowOff>
    </xdr:from>
    <xdr:to>
      <xdr:col>10</xdr:col>
      <xdr:colOff>504825</xdr:colOff>
      <xdr:row>79</xdr:row>
      <xdr:rowOff>57150</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38100</xdr:colOff>
      <xdr:row>81</xdr:row>
      <xdr:rowOff>0</xdr:rowOff>
    </xdr:from>
    <xdr:to>
      <xdr:col>10</xdr:col>
      <xdr:colOff>561975</xdr:colOff>
      <xdr:row>95</xdr:row>
      <xdr:rowOff>76200</xdr:rowOff>
    </xdr:to>
    <xdr:graphicFrame macro="">
      <xdr:nvGraphicFramePr>
        <xdr:cNvPr id="7" name="Chart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47625</xdr:colOff>
      <xdr:row>97</xdr:row>
      <xdr:rowOff>19050</xdr:rowOff>
    </xdr:from>
    <xdr:to>
      <xdr:col>10</xdr:col>
      <xdr:colOff>571500</xdr:colOff>
      <xdr:row>111</xdr:row>
      <xdr:rowOff>95250</xdr:rowOff>
    </xdr:to>
    <xdr:graphicFrame macro="">
      <xdr:nvGraphicFramePr>
        <xdr:cNvPr id="8" name="Chart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66675</xdr:colOff>
      <xdr:row>113</xdr:row>
      <xdr:rowOff>28575</xdr:rowOff>
    </xdr:from>
    <xdr:to>
      <xdr:col>10</xdr:col>
      <xdr:colOff>590550</xdr:colOff>
      <xdr:row>127</xdr:row>
      <xdr:rowOff>104775</xdr:rowOff>
    </xdr:to>
    <xdr:graphicFrame macro="">
      <xdr:nvGraphicFramePr>
        <xdr:cNvPr id="11" name="Chart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10</xdr:col>
      <xdr:colOff>314325</xdr:colOff>
      <xdr:row>21</xdr:row>
      <xdr:rowOff>152399</xdr:rowOff>
    </xdr:from>
    <xdr:to>
      <xdr:col>18</xdr:col>
      <xdr:colOff>438150</xdr:colOff>
      <xdr:row>40</xdr:row>
      <xdr:rowOff>161924</xdr:rowOff>
    </xdr:to>
    <xdr:graphicFrame macro="">
      <xdr:nvGraphicFramePr>
        <xdr:cNvPr id="9" name="Chart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25.xml><?xml version="1.0" encoding="utf-8"?>
<c:userShapes xmlns:c="http://schemas.openxmlformats.org/drawingml/2006/chart">
  <cdr:relSizeAnchor xmlns:cdr="http://schemas.openxmlformats.org/drawingml/2006/chartDrawing">
    <cdr:from>
      <cdr:x>0.17883</cdr:x>
      <cdr:y>0.15204</cdr:y>
    </cdr:from>
    <cdr:to>
      <cdr:x>0.18065</cdr:x>
      <cdr:y>0.69554</cdr:y>
    </cdr:to>
    <cdr:sp macro="" textlink="">
      <cdr:nvSpPr>
        <cdr:cNvPr id="3" name="Straight Connector 2"/>
        <cdr:cNvSpPr/>
      </cdr:nvSpPr>
      <cdr:spPr>
        <a:xfrm xmlns:a="http://schemas.openxmlformats.org/drawingml/2006/main" flipV="1">
          <a:off x="933450" y="551766"/>
          <a:ext cx="9511" cy="1972360"/>
        </a:xfrm>
        <a:prstGeom xmlns:a="http://schemas.openxmlformats.org/drawingml/2006/main" prst="line">
          <a:avLst/>
        </a:prstGeom>
        <a:ln xmlns:a="http://schemas.openxmlformats.org/drawingml/2006/main" w="25400">
          <a:solidFill>
            <a:srgbClr val="FF0000"/>
          </a:solidFill>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0.44343</cdr:x>
      <cdr:y>0.15467</cdr:y>
    </cdr:from>
    <cdr:to>
      <cdr:x>0.44526</cdr:x>
      <cdr:y>0.70079</cdr:y>
    </cdr:to>
    <cdr:sp macro="" textlink="">
      <cdr:nvSpPr>
        <cdr:cNvPr id="5" name="Straight Connector 4"/>
        <cdr:cNvSpPr/>
      </cdr:nvSpPr>
      <cdr:spPr>
        <a:xfrm xmlns:a="http://schemas.openxmlformats.org/drawingml/2006/main" flipH="1" flipV="1">
          <a:off x="2314572" y="561290"/>
          <a:ext cx="9527" cy="1981885"/>
        </a:xfrm>
        <a:prstGeom xmlns:a="http://schemas.openxmlformats.org/drawingml/2006/main" prst="line">
          <a:avLst/>
        </a:prstGeom>
        <a:ln xmlns:a="http://schemas.openxmlformats.org/drawingml/2006/main" w="25400">
          <a:solidFill>
            <a:srgbClr val="FF0000"/>
          </a:solidFill>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0.47081</cdr:x>
      <cdr:y>0.1706</cdr:y>
    </cdr:from>
    <cdr:to>
      <cdr:x>0.86496</cdr:x>
      <cdr:y>0.40688</cdr:y>
    </cdr:to>
    <cdr:sp macro="" textlink="">
      <cdr:nvSpPr>
        <cdr:cNvPr id="7" name="TextBox 6"/>
        <cdr:cNvSpPr txBox="1"/>
      </cdr:nvSpPr>
      <cdr:spPr>
        <a:xfrm xmlns:a="http://schemas.openxmlformats.org/drawingml/2006/main">
          <a:off x="2457464" y="619126"/>
          <a:ext cx="2057385" cy="85744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050">
              <a:solidFill>
                <a:srgbClr val="FF0000"/>
              </a:solidFill>
            </a:rPr>
            <a:t>Insulation (SPF)</a:t>
          </a:r>
          <a:r>
            <a:rPr lang="en-US" sz="1050" baseline="0">
              <a:solidFill>
                <a:srgbClr val="FF0000"/>
              </a:solidFill>
            </a:rPr>
            <a:t> </a:t>
          </a:r>
          <a:r>
            <a:rPr lang="en-US" sz="1050">
              <a:solidFill>
                <a:srgbClr val="FF0000"/>
              </a:solidFill>
            </a:rPr>
            <a:t>over stone wall:</a:t>
          </a:r>
        </a:p>
        <a:p xmlns:a="http://schemas.openxmlformats.org/drawingml/2006/main">
          <a:r>
            <a:rPr lang="en-US" sz="1050">
              <a:solidFill>
                <a:srgbClr val="FF0000"/>
              </a:solidFill>
            </a:rPr>
            <a:t>mean:</a:t>
          </a:r>
          <a:r>
            <a:rPr lang="en-US" sz="1050" baseline="0">
              <a:solidFill>
                <a:srgbClr val="FF0000"/>
              </a:solidFill>
            </a:rPr>
            <a:t> 1.71</a:t>
          </a:r>
          <a:endParaRPr lang="en-US" sz="1050">
            <a:solidFill>
              <a:srgbClr val="FF0000"/>
            </a:solidFill>
          </a:endParaRPr>
        </a:p>
      </cdr:txBody>
    </cdr:sp>
  </cdr:relSizeAnchor>
  <cdr:relSizeAnchor xmlns:cdr="http://schemas.openxmlformats.org/drawingml/2006/chartDrawing">
    <cdr:from>
      <cdr:x>0.19343</cdr:x>
      <cdr:y>0.15748</cdr:y>
    </cdr:from>
    <cdr:to>
      <cdr:x>0.42883</cdr:x>
      <cdr:y>0.56881</cdr:y>
    </cdr:to>
    <cdr:sp macro="" textlink="">
      <cdr:nvSpPr>
        <cdr:cNvPr id="8" name="TextBox 7"/>
        <cdr:cNvSpPr txBox="1"/>
      </cdr:nvSpPr>
      <cdr:spPr>
        <a:xfrm xmlns:a="http://schemas.openxmlformats.org/drawingml/2006/main">
          <a:off x="1009650" y="571501"/>
          <a:ext cx="1228710" cy="149272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050">
              <a:solidFill>
                <a:srgbClr val="FF0000"/>
              </a:solidFill>
            </a:rPr>
            <a:t>Insulation</a:t>
          </a:r>
          <a:r>
            <a:rPr lang="en-US" sz="1050" baseline="0">
              <a:solidFill>
                <a:srgbClr val="FF0000"/>
              </a:solidFill>
            </a:rPr>
            <a:t>  (rigid) over concrete or concrete block</a:t>
          </a:r>
        </a:p>
        <a:p xmlns:a="http://schemas.openxmlformats.org/drawingml/2006/main">
          <a:r>
            <a:rPr lang="en-US" sz="1050" baseline="0">
              <a:solidFill>
                <a:srgbClr val="FF0000"/>
              </a:solidFill>
            </a:rPr>
            <a:t>mean: 1.18</a:t>
          </a:r>
          <a:endParaRPr lang="en-US" sz="1050">
            <a:solidFill>
              <a:srgbClr val="FF0000"/>
            </a:solidFill>
          </a:endParaRPr>
        </a:p>
      </cdr:txBody>
    </cdr:sp>
  </cdr:relSizeAnchor>
  <cdr:relSizeAnchor xmlns:cdr="http://schemas.openxmlformats.org/drawingml/2006/chartDrawing">
    <cdr:from>
      <cdr:x>0.06934</cdr:x>
      <cdr:y>0.00206</cdr:y>
    </cdr:from>
    <cdr:to>
      <cdr:x>0.32847</cdr:x>
      <cdr:y>0.07498</cdr:y>
    </cdr:to>
    <cdr:sp macro="" textlink="">
      <cdr:nvSpPr>
        <cdr:cNvPr id="10" name="TextBox 9"/>
        <cdr:cNvSpPr txBox="1"/>
      </cdr:nvSpPr>
      <cdr:spPr>
        <a:xfrm xmlns:a="http://schemas.openxmlformats.org/drawingml/2006/main">
          <a:off x="361950" y="7490"/>
          <a:ext cx="1352567" cy="26463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050">
              <a:solidFill>
                <a:srgbClr val="FF0000"/>
              </a:solidFill>
            </a:rPr>
            <a:t>uninsulated</a:t>
          </a:r>
        </a:p>
      </cdr:txBody>
    </cdr:sp>
  </cdr:relSizeAnchor>
  <cdr:relSizeAnchor xmlns:cdr="http://schemas.openxmlformats.org/drawingml/2006/chartDrawing">
    <cdr:from>
      <cdr:x>0.00548</cdr:x>
      <cdr:y>0.01136</cdr:y>
    </cdr:from>
    <cdr:to>
      <cdr:x>0.05474</cdr:x>
      <cdr:y>0.23864</cdr:y>
    </cdr:to>
    <cdr:sp macro="" textlink="">
      <cdr:nvSpPr>
        <cdr:cNvPr id="9" name="TextBox 8"/>
        <cdr:cNvSpPr txBox="1"/>
      </cdr:nvSpPr>
      <cdr:spPr>
        <a:xfrm xmlns:a="http://schemas.openxmlformats.org/drawingml/2006/main" rot="16200000">
          <a:off x="-223835" y="290514"/>
          <a:ext cx="762000" cy="25717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000"/>
            <a:t>ACH50</a:t>
          </a:r>
        </a:p>
      </cdr:txBody>
    </cdr:sp>
  </cdr:relSizeAnchor>
</c:userShapes>
</file>

<file path=xl/drawings/drawing3.xml><?xml version="1.0" encoding="utf-8"?>
<c:userShapes xmlns:c="http://schemas.openxmlformats.org/drawingml/2006/chart">
  <cdr:relSizeAnchor xmlns:cdr="http://schemas.openxmlformats.org/drawingml/2006/chartDrawing">
    <cdr:from>
      <cdr:x>0.12105</cdr:x>
      <cdr:y>0.49891</cdr:y>
    </cdr:from>
    <cdr:to>
      <cdr:x>0.97476</cdr:x>
      <cdr:y>0.49891</cdr:y>
    </cdr:to>
    <cdr:sp macro="" textlink="">
      <cdr:nvSpPr>
        <cdr:cNvPr id="3" name="Straight Connector 2"/>
        <cdr:cNvSpPr/>
      </cdr:nvSpPr>
      <cdr:spPr>
        <a:xfrm xmlns:a="http://schemas.openxmlformats.org/drawingml/2006/main" flipV="1">
          <a:off x="720719" y="1924608"/>
          <a:ext cx="5082900" cy="0"/>
        </a:xfrm>
        <a:prstGeom xmlns:a="http://schemas.openxmlformats.org/drawingml/2006/main" prst="line">
          <a:avLst/>
        </a:prstGeom>
        <a:ln xmlns:a="http://schemas.openxmlformats.org/drawingml/2006/main" w="25400">
          <a:solidFill>
            <a:srgbClr val="0070C0"/>
          </a:solidFill>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0.12082</cdr:x>
      <cdr:y>0.62668</cdr:y>
    </cdr:from>
    <cdr:to>
      <cdr:x>0.97598</cdr:x>
      <cdr:y>0.62893</cdr:y>
    </cdr:to>
    <cdr:sp macro="" textlink="">
      <cdr:nvSpPr>
        <cdr:cNvPr id="4" name="Straight Connector 3"/>
        <cdr:cNvSpPr/>
      </cdr:nvSpPr>
      <cdr:spPr>
        <a:xfrm xmlns:a="http://schemas.openxmlformats.org/drawingml/2006/main">
          <a:off x="721366" y="2417514"/>
          <a:ext cx="5105786" cy="8659"/>
        </a:xfrm>
        <a:prstGeom xmlns:a="http://schemas.openxmlformats.org/drawingml/2006/main" prst="line">
          <a:avLst/>
        </a:prstGeom>
        <a:ln xmlns:a="http://schemas.openxmlformats.org/drawingml/2006/main" w="25400">
          <a:solidFill>
            <a:srgbClr val="0070C0"/>
          </a:solidFill>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0.65883</cdr:x>
      <cdr:y>0.53241</cdr:y>
    </cdr:from>
    <cdr:to>
      <cdr:x>0.92498</cdr:x>
      <cdr:y>0.6481</cdr:y>
    </cdr:to>
    <cdr:sp macro="" textlink="">
      <cdr:nvSpPr>
        <cdr:cNvPr id="6" name="TextBox 5"/>
        <cdr:cNvSpPr txBox="1"/>
      </cdr:nvSpPr>
      <cdr:spPr>
        <a:xfrm xmlns:a="http://schemas.openxmlformats.org/drawingml/2006/main">
          <a:off x="3922633" y="2053833"/>
          <a:ext cx="1584614" cy="44629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000">
              <a:solidFill>
                <a:srgbClr val="0070C0"/>
              </a:solidFill>
            </a:rPr>
            <a:t>Target goal for retrofit community: 0.10</a:t>
          </a:r>
        </a:p>
      </cdr:txBody>
    </cdr:sp>
  </cdr:relSizeAnchor>
  <cdr:relSizeAnchor xmlns:cdr="http://schemas.openxmlformats.org/drawingml/2006/chartDrawing">
    <cdr:from>
      <cdr:x>0.65838</cdr:x>
      <cdr:y>0.39358</cdr:y>
    </cdr:from>
    <cdr:to>
      <cdr:x>0.93767</cdr:x>
      <cdr:y>0.55418</cdr:y>
    </cdr:to>
    <cdr:sp macro="" textlink="">
      <cdr:nvSpPr>
        <cdr:cNvPr id="7" name="TextBox 6"/>
        <cdr:cNvSpPr txBox="1"/>
      </cdr:nvSpPr>
      <cdr:spPr>
        <a:xfrm xmlns:a="http://schemas.openxmlformats.org/drawingml/2006/main">
          <a:off x="3930902" y="1518302"/>
          <a:ext cx="1667514" cy="61953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000">
              <a:solidFill>
                <a:srgbClr val="0070C0"/>
              </a:solidFill>
            </a:rPr>
            <a:t>BSC's Building America testing</a:t>
          </a:r>
          <a:r>
            <a:rPr lang="en-US" sz="1000" baseline="0">
              <a:solidFill>
                <a:srgbClr val="0070C0"/>
              </a:solidFill>
            </a:rPr>
            <a:t> requirement: 0.25</a:t>
          </a:r>
          <a:endParaRPr lang="en-US" sz="1000">
            <a:solidFill>
              <a:srgbClr val="0070C0"/>
            </a:solidFill>
          </a:endParaRPr>
        </a:p>
      </cdr:txBody>
    </cdr:sp>
  </cdr:relSizeAnchor>
  <cdr:relSizeAnchor xmlns:cdr="http://schemas.openxmlformats.org/drawingml/2006/chartDrawing">
    <cdr:from>
      <cdr:x>0.00393</cdr:x>
      <cdr:y>0.00923</cdr:y>
    </cdr:from>
    <cdr:to>
      <cdr:x>0.05338</cdr:x>
      <cdr:y>0.48734</cdr:y>
    </cdr:to>
    <cdr:sp macro="" textlink="">
      <cdr:nvSpPr>
        <cdr:cNvPr id="8" name="TextBox 7"/>
        <cdr:cNvSpPr txBox="1"/>
      </cdr:nvSpPr>
      <cdr:spPr>
        <a:xfrm xmlns:a="http://schemas.openxmlformats.org/drawingml/2006/main" rot="16200000">
          <a:off x="-751607" y="810586"/>
          <a:ext cx="1844388" cy="29440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100"/>
            <a:t>CFM 50/Enclosure</a:t>
          </a:r>
          <a:r>
            <a:rPr lang="en-US" sz="1100" baseline="0"/>
            <a:t> SA</a:t>
          </a:r>
          <a:endParaRPr lang="en-US" sz="1100"/>
        </a:p>
      </cdr:txBody>
    </cdr:sp>
  </cdr:relSizeAnchor>
</c:userShapes>
</file>

<file path=xl/drawings/drawing4.xml><?xml version="1.0" encoding="utf-8"?>
<c:userShapes xmlns:c="http://schemas.openxmlformats.org/drawingml/2006/chart">
  <cdr:relSizeAnchor xmlns:cdr="http://schemas.openxmlformats.org/drawingml/2006/chartDrawing">
    <cdr:from>
      <cdr:x>0.72827</cdr:x>
      <cdr:y>0.04701</cdr:y>
    </cdr:from>
    <cdr:to>
      <cdr:x>0.88562</cdr:x>
      <cdr:y>0.15562</cdr:y>
    </cdr:to>
    <cdr:sp macro="" textlink="">
      <cdr:nvSpPr>
        <cdr:cNvPr id="2" name="TextBox 1"/>
        <cdr:cNvSpPr txBox="1"/>
      </cdr:nvSpPr>
      <cdr:spPr>
        <a:xfrm xmlns:a="http://schemas.openxmlformats.org/drawingml/2006/main">
          <a:off x="3323247" y="128954"/>
          <a:ext cx="718039" cy="29794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000">
              <a:solidFill>
                <a:srgbClr val="FF0000"/>
              </a:solidFill>
            </a:rPr>
            <a:t>Arlington</a:t>
          </a:r>
        </a:p>
      </cdr:txBody>
    </cdr:sp>
  </cdr:relSizeAnchor>
  <cdr:relSizeAnchor xmlns:cdr="http://schemas.openxmlformats.org/drawingml/2006/chartDrawing">
    <cdr:from>
      <cdr:x>0.77323</cdr:x>
      <cdr:y>0.82425</cdr:y>
    </cdr:from>
    <cdr:to>
      <cdr:x>0.99802</cdr:x>
      <cdr:y>0.90438</cdr:y>
    </cdr:to>
    <cdr:sp macro="" textlink="">
      <cdr:nvSpPr>
        <cdr:cNvPr id="5" name="TextBox 4"/>
        <cdr:cNvSpPr txBox="1"/>
      </cdr:nvSpPr>
      <cdr:spPr>
        <a:xfrm xmlns:a="http://schemas.openxmlformats.org/drawingml/2006/main">
          <a:off x="3528402" y="2261089"/>
          <a:ext cx="1025770" cy="21980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000"/>
            <a:t>CFM</a:t>
          </a:r>
          <a:r>
            <a:rPr lang="en-US" sz="1000" baseline="0"/>
            <a:t> 50/Encl SA</a:t>
          </a:r>
          <a:endParaRPr lang="en-US" sz="1000"/>
        </a:p>
      </cdr:txBody>
    </cdr:sp>
  </cdr:relSizeAnchor>
  <cdr:relSizeAnchor xmlns:cdr="http://schemas.openxmlformats.org/drawingml/2006/chartDrawing">
    <cdr:from>
      <cdr:x>0.00252</cdr:x>
      <cdr:y>0.03499</cdr:y>
    </cdr:from>
    <cdr:to>
      <cdr:x>0.06353</cdr:x>
      <cdr:y>0.25534</cdr:y>
    </cdr:to>
    <cdr:sp macro="" textlink="">
      <cdr:nvSpPr>
        <cdr:cNvPr id="6" name="TextBox 5"/>
        <cdr:cNvSpPr txBox="1"/>
      </cdr:nvSpPr>
      <cdr:spPr>
        <a:xfrm xmlns:a="http://schemas.openxmlformats.org/drawingml/2006/main" rot="16200000">
          <a:off x="-151542" y="259006"/>
          <a:ext cx="604471" cy="27842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000"/>
            <a:t>ACH50</a:t>
          </a:r>
        </a:p>
      </cdr:txBody>
    </cdr:sp>
  </cdr:relSizeAnchor>
</c:userShapes>
</file>

<file path=xl/drawings/drawing5.xml><?xml version="1.0" encoding="utf-8"?>
<c:userShapes xmlns:c="http://schemas.openxmlformats.org/drawingml/2006/chart">
  <cdr:relSizeAnchor xmlns:cdr="http://schemas.openxmlformats.org/drawingml/2006/chartDrawing">
    <cdr:from>
      <cdr:x>0.13751</cdr:x>
      <cdr:y>0.08712</cdr:y>
    </cdr:from>
    <cdr:to>
      <cdr:x>0.78307</cdr:x>
      <cdr:y>0.78687</cdr:y>
    </cdr:to>
    <cdr:sp macro="" textlink="">
      <cdr:nvSpPr>
        <cdr:cNvPr id="7" name="Straight Connector 6"/>
        <cdr:cNvSpPr/>
      </cdr:nvSpPr>
      <cdr:spPr>
        <a:xfrm xmlns:a="http://schemas.openxmlformats.org/drawingml/2006/main" flipV="1">
          <a:off x="649233" y="257242"/>
          <a:ext cx="3048000" cy="2066192"/>
        </a:xfrm>
        <a:prstGeom xmlns:a="http://schemas.openxmlformats.org/drawingml/2006/main" prst="line">
          <a:avLst/>
        </a:prstGeom>
        <a:ln xmlns:a="http://schemas.openxmlformats.org/drawingml/2006/main" w="25400">
          <a:solidFill>
            <a:srgbClr val="FF0000"/>
          </a:solidFill>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0.60306</cdr:x>
      <cdr:y>0.28067</cdr:y>
    </cdr:from>
    <cdr:to>
      <cdr:x>0.68176</cdr:x>
      <cdr:y>0.39707</cdr:y>
    </cdr:to>
    <cdr:sp macro="" textlink="">
      <cdr:nvSpPr>
        <cdr:cNvPr id="9" name="Straight Arrow Connector 8"/>
        <cdr:cNvSpPr/>
      </cdr:nvSpPr>
      <cdr:spPr>
        <a:xfrm xmlns:a="http://schemas.openxmlformats.org/drawingml/2006/main" flipH="1" flipV="1">
          <a:off x="2847310" y="828742"/>
          <a:ext cx="371622" cy="343696"/>
        </a:xfrm>
        <a:prstGeom xmlns:a="http://schemas.openxmlformats.org/drawingml/2006/main" prst="straightConnector1">
          <a:avLst/>
        </a:prstGeom>
        <a:ln xmlns:a="http://schemas.openxmlformats.org/drawingml/2006/main">
          <a:solidFill>
            <a:srgbClr val="FF0000"/>
          </a:solidFill>
          <a:tailEnd type="arrow"/>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0.6654</cdr:x>
      <cdr:y>0.35759</cdr:y>
    </cdr:from>
    <cdr:to>
      <cdr:x>0.90819</cdr:x>
      <cdr:y>0.4915</cdr:y>
    </cdr:to>
    <cdr:sp macro="" textlink="">
      <cdr:nvSpPr>
        <cdr:cNvPr id="10" name="TextBox 9"/>
        <cdr:cNvSpPr txBox="1"/>
      </cdr:nvSpPr>
      <cdr:spPr>
        <a:xfrm xmlns:a="http://schemas.openxmlformats.org/drawingml/2006/main">
          <a:off x="3141661" y="1055877"/>
          <a:ext cx="1146326" cy="39539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100">
              <a:solidFill>
                <a:srgbClr val="FF0000"/>
              </a:solidFill>
            </a:rPr>
            <a:t>Post</a:t>
          </a:r>
          <a:r>
            <a:rPr lang="en-US" sz="1100" baseline="0">
              <a:solidFill>
                <a:srgbClr val="FF0000"/>
              </a:solidFill>
            </a:rPr>
            <a:t> = 0.5 * Pre</a:t>
          </a:r>
          <a:endParaRPr lang="en-US" sz="1100">
            <a:solidFill>
              <a:srgbClr val="FF0000"/>
            </a:solidFill>
          </a:endParaRPr>
        </a:p>
      </cdr:txBody>
    </cdr:sp>
  </cdr:relSizeAnchor>
  <cdr:relSizeAnchor xmlns:cdr="http://schemas.openxmlformats.org/drawingml/2006/chartDrawing">
    <cdr:from>
      <cdr:x>0.81813</cdr:x>
      <cdr:y>0.86921</cdr:y>
    </cdr:from>
    <cdr:to>
      <cdr:x>0.98915</cdr:x>
      <cdr:y>0.93372</cdr:y>
    </cdr:to>
    <cdr:sp macro="" textlink="">
      <cdr:nvSpPr>
        <cdr:cNvPr id="5" name="TextBox 4"/>
        <cdr:cNvSpPr txBox="1"/>
      </cdr:nvSpPr>
      <cdr:spPr>
        <a:xfrm xmlns:a="http://schemas.openxmlformats.org/drawingml/2006/main">
          <a:off x="3852429" y="2566554"/>
          <a:ext cx="805296" cy="190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000"/>
            <a:t>Pre</a:t>
          </a:r>
          <a:r>
            <a:rPr lang="en-US" sz="1000" baseline="0"/>
            <a:t> CFM 50</a:t>
          </a:r>
          <a:endParaRPr lang="en-US" sz="1000"/>
        </a:p>
      </cdr:txBody>
    </cdr:sp>
  </cdr:relSizeAnchor>
  <cdr:relSizeAnchor xmlns:cdr="http://schemas.openxmlformats.org/drawingml/2006/chartDrawing">
    <cdr:from>
      <cdr:x>0.00533</cdr:x>
      <cdr:y>0</cdr:y>
    </cdr:from>
    <cdr:to>
      <cdr:x>0.05866</cdr:x>
      <cdr:y>0.35308</cdr:y>
    </cdr:to>
    <cdr:sp macro="" textlink="">
      <cdr:nvSpPr>
        <cdr:cNvPr id="6" name="TextBox 5"/>
        <cdr:cNvSpPr txBox="1"/>
      </cdr:nvSpPr>
      <cdr:spPr>
        <a:xfrm xmlns:a="http://schemas.openxmlformats.org/drawingml/2006/main" rot="16200000">
          <a:off x="-370607" y="395720"/>
          <a:ext cx="1042554" cy="25111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000"/>
            <a:t>Post CFM 50</a:t>
          </a:r>
        </a:p>
      </cdr:txBody>
    </cdr:sp>
  </cdr:relSizeAnchor>
</c:userShapes>
</file>

<file path=xl/drawings/drawing6.xml><?xml version="1.0" encoding="utf-8"?>
<c:userShapes xmlns:c="http://schemas.openxmlformats.org/drawingml/2006/chart">
  <cdr:relSizeAnchor xmlns:cdr="http://schemas.openxmlformats.org/drawingml/2006/chartDrawing">
    <cdr:from>
      <cdr:x>0.42083</cdr:x>
      <cdr:y>0.35069</cdr:y>
    </cdr:from>
    <cdr:to>
      <cdr:x>0.55625</cdr:x>
      <cdr:y>0.41319</cdr:y>
    </cdr:to>
    <cdr:sp macro="" textlink="">
      <cdr:nvSpPr>
        <cdr:cNvPr id="5" name="Straight Arrow Connector 4"/>
        <cdr:cNvSpPr/>
      </cdr:nvSpPr>
      <cdr:spPr>
        <a:xfrm xmlns:a="http://schemas.openxmlformats.org/drawingml/2006/main" flipH="1" flipV="1">
          <a:off x="1924050" y="962025"/>
          <a:ext cx="619125" cy="171450"/>
        </a:xfrm>
        <a:prstGeom xmlns:a="http://schemas.openxmlformats.org/drawingml/2006/main" prst="straightConnector1">
          <a:avLst/>
        </a:prstGeom>
        <a:ln xmlns:a="http://schemas.openxmlformats.org/drawingml/2006/main">
          <a:solidFill>
            <a:srgbClr val="FF0000"/>
          </a:solidFill>
          <a:tailEnd type="arrow"/>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0.55417</cdr:x>
      <cdr:y>0.36458</cdr:y>
    </cdr:from>
    <cdr:to>
      <cdr:x>0.72917</cdr:x>
      <cdr:y>0.46528</cdr:y>
    </cdr:to>
    <cdr:sp macro="" textlink="">
      <cdr:nvSpPr>
        <cdr:cNvPr id="6" name="TextBox 5"/>
        <cdr:cNvSpPr txBox="1"/>
      </cdr:nvSpPr>
      <cdr:spPr>
        <a:xfrm xmlns:a="http://schemas.openxmlformats.org/drawingml/2006/main">
          <a:off x="2533650" y="1000125"/>
          <a:ext cx="800100" cy="2762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100">
              <a:solidFill>
                <a:srgbClr val="FF0000"/>
              </a:solidFill>
            </a:rPr>
            <a:t>Arlington</a:t>
          </a:r>
        </a:p>
      </cdr:txBody>
    </cdr:sp>
  </cdr:relSizeAnchor>
</c:userShapes>
</file>

<file path=xl/drawings/drawing7.xml><?xml version="1.0" encoding="utf-8"?>
<c:userShapes xmlns:c="http://schemas.openxmlformats.org/drawingml/2006/chart">
  <cdr:relSizeAnchor xmlns:cdr="http://schemas.openxmlformats.org/drawingml/2006/chartDrawing">
    <cdr:from>
      <cdr:x>0.82279</cdr:x>
      <cdr:y>0.78157</cdr:y>
    </cdr:from>
    <cdr:to>
      <cdr:x>0.98666</cdr:x>
      <cdr:y>0.8447</cdr:y>
    </cdr:to>
    <cdr:sp macro="" textlink="">
      <cdr:nvSpPr>
        <cdr:cNvPr id="2" name="TextBox 1"/>
        <cdr:cNvSpPr txBox="1"/>
      </cdr:nvSpPr>
      <cdr:spPr>
        <a:xfrm xmlns:a="http://schemas.openxmlformats.org/drawingml/2006/main">
          <a:off x="3738995" y="2143991"/>
          <a:ext cx="744682" cy="17318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0.67035</cdr:x>
      <cdr:y>0.86679</cdr:y>
    </cdr:from>
    <cdr:to>
      <cdr:x>0.9676</cdr:x>
      <cdr:y>0.9678</cdr:y>
    </cdr:to>
    <cdr:sp macro="" textlink="">
      <cdr:nvSpPr>
        <cdr:cNvPr id="3" name="TextBox 2"/>
        <cdr:cNvSpPr txBox="1"/>
      </cdr:nvSpPr>
      <cdr:spPr>
        <a:xfrm xmlns:a="http://schemas.openxmlformats.org/drawingml/2006/main">
          <a:off x="3046268" y="2377786"/>
          <a:ext cx="1350800" cy="27709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000"/>
            <a:t>Year </a:t>
          </a:r>
          <a:r>
            <a:rPr lang="en-US" sz="1000" baseline="0"/>
            <a:t>house was b</a:t>
          </a:r>
          <a:r>
            <a:rPr lang="en-US" sz="1000"/>
            <a:t>uilt</a:t>
          </a:r>
        </a:p>
      </cdr:txBody>
    </cdr:sp>
  </cdr:relSizeAnchor>
  <cdr:relSizeAnchor xmlns:cdr="http://schemas.openxmlformats.org/drawingml/2006/chartDrawing">
    <cdr:from>
      <cdr:x>0.01296</cdr:x>
      <cdr:y>0.00189</cdr:y>
    </cdr:from>
    <cdr:to>
      <cdr:x>0.0625</cdr:x>
      <cdr:y>0.50694</cdr:y>
    </cdr:to>
    <cdr:sp macro="" textlink="">
      <cdr:nvSpPr>
        <cdr:cNvPr id="4" name="TextBox 3"/>
        <cdr:cNvSpPr txBox="1"/>
      </cdr:nvSpPr>
      <cdr:spPr>
        <a:xfrm xmlns:a="http://schemas.openxmlformats.org/drawingml/2006/main" rot="16200000">
          <a:off x="-521278" y="585356"/>
          <a:ext cx="1385467" cy="22512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000"/>
            <a:t>Post-retrofit ACH50</a:t>
          </a:r>
        </a:p>
      </cdr:txBody>
    </cdr:sp>
  </cdr:relSizeAnchor>
</c:userShapes>
</file>

<file path=xl/drawings/drawing8.xml><?xml version="1.0" encoding="utf-8"?>
<c:userShapes xmlns:c="http://schemas.openxmlformats.org/drawingml/2006/chart">
  <cdr:relSizeAnchor xmlns:cdr="http://schemas.openxmlformats.org/drawingml/2006/chartDrawing">
    <cdr:from>
      <cdr:x>0.6437</cdr:x>
      <cdr:y>0.87342</cdr:y>
    </cdr:from>
    <cdr:to>
      <cdr:x>0.98042</cdr:x>
      <cdr:y>0.97127</cdr:y>
    </cdr:to>
    <cdr:sp macro="" textlink="">
      <cdr:nvSpPr>
        <cdr:cNvPr id="5" name="TextBox 4"/>
        <cdr:cNvSpPr txBox="1"/>
      </cdr:nvSpPr>
      <cdr:spPr>
        <a:xfrm xmlns:a="http://schemas.openxmlformats.org/drawingml/2006/main">
          <a:off x="2847108" y="2395969"/>
          <a:ext cx="1489351" cy="26843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000"/>
            <a:t>Pre-retrofit</a:t>
          </a:r>
          <a:r>
            <a:rPr lang="en-US" sz="1000" baseline="0"/>
            <a:t> total </a:t>
          </a:r>
          <a:r>
            <a:rPr lang="en-US" sz="1000"/>
            <a:t>CFM 50</a:t>
          </a:r>
        </a:p>
      </cdr:txBody>
    </cdr:sp>
  </cdr:relSizeAnchor>
  <cdr:relSizeAnchor xmlns:cdr="http://schemas.openxmlformats.org/drawingml/2006/chartDrawing">
    <cdr:from>
      <cdr:x>0.01135</cdr:x>
      <cdr:y>0.05903</cdr:y>
    </cdr:from>
    <cdr:to>
      <cdr:x>0.06813</cdr:x>
      <cdr:y>0.51357</cdr:y>
    </cdr:to>
    <cdr:sp macro="" textlink="">
      <cdr:nvSpPr>
        <cdr:cNvPr id="6" name="TextBox 5"/>
        <cdr:cNvSpPr txBox="1"/>
      </cdr:nvSpPr>
      <cdr:spPr>
        <a:xfrm xmlns:a="http://schemas.openxmlformats.org/drawingml/2006/main" rot="16200000">
          <a:off x="-447679" y="659809"/>
          <a:ext cx="1246909" cy="25114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000"/>
            <a:t>Post-retrofit ACH50</a:t>
          </a:r>
        </a:p>
      </cdr:txBody>
    </cdr:sp>
  </cdr:relSizeAnchor>
</c:userShapes>
</file>

<file path=xl/drawings/drawing9.xml><?xml version="1.0" encoding="utf-8"?>
<xdr:wsDr xmlns:xdr="http://schemas.openxmlformats.org/drawingml/2006/spreadsheetDrawing" xmlns:a="http://schemas.openxmlformats.org/drawingml/2006/main">
  <xdr:twoCellAnchor>
    <xdr:from>
      <xdr:col>3</xdr:col>
      <xdr:colOff>695325</xdr:colOff>
      <xdr:row>34</xdr:row>
      <xdr:rowOff>114300</xdr:rowOff>
    </xdr:from>
    <xdr:to>
      <xdr:col>11</xdr:col>
      <xdr:colOff>600075</xdr:colOff>
      <xdr:row>54</xdr:row>
      <xdr:rowOff>171450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Building%20America/BA%20Communities/MA%20National%20Grid%20Retrofit/01%20-%20Admin/2012%20DER%20Project%20List.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Project Management"/>
      <sheetName val="Project Statistics"/>
    </sheetNames>
    <sheetDataSet>
      <sheetData sheetId="0">
        <row r="8">
          <cell r="E8">
            <v>21</v>
          </cell>
        </row>
        <row r="12">
          <cell r="B12" t="str">
            <v>Clark</v>
          </cell>
          <cell r="D12">
            <v>1</v>
          </cell>
          <cell r="E12" t="str">
            <v>Wright Builders, LLC</v>
          </cell>
          <cell r="F12" t="str">
            <v>B</v>
          </cell>
          <cell r="G12" t="str">
            <v>Wright Builders, LLC</v>
          </cell>
          <cell r="H12" t="str">
            <v>Belchertown</v>
          </cell>
          <cell r="I12">
            <v>1352</v>
          </cell>
          <cell r="J12" t="str">
            <v>Cape</v>
          </cell>
          <cell r="K12">
            <v>1.5</v>
          </cell>
          <cell r="L12">
            <v>1760</v>
          </cell>
          <cell r="M12" t="str">
            <v>interior SPF, secondary stud wall to interior of post-and-beam, storm windows over existing double Lo-E, much remediation of exterior flashing</v>
          </cell>
          <cell r="N12" t="str">
            <v>Complete</v>
          </cell>
          <cell r="O12" t="str">
            <v>BA Case Study complete</v>
          </cell>
          <cell r="P12">
            <v>40026</v>
          </cell>
          <cell r="Q12">
            <v>40204</v>
          </cell>
          <cell r="S12" t="str">
            <v>KN</v>
          </cell>
          <cell r="V12">
            <v>1</v>
          </cell>
        </row>
        <row r="13">
          <cell r="B13" t="str">
            <v>Brownsberger</v>
          </cell>
          <cell r="D13">
            <v>2</v>
          </cell>
          <cell r="E13" t="str">
            <v>Byggmeister</v>
          </cell>
          <cell r="F13" t="str">
            <v>B</v>
          </cell>
          <cell r="G13" t="str">
            <v>Byggmeister</v>
          </cell>
          <cell r="H13" t="str">
            <v>Belmont</v>
          </cell>
          <cell r="I13">
            <v>2728</v>
          </cell>
          <cell r="J13" t="str">
            <v>2 family</v>
          </cell>
          <cell r="K13">
            <v>3</v>
          </cell>
          <cell r="L13">
            <v>1925</v>
          </cell>
          <cell r="M13" t="str">
            <v>exterior insulating sheathing, face sealed water management, uninsulated basement slab</v>
          </cell>
          <cell r="N13" t="str">
            <v>Complete</v>
          </cell>
          <cell r="O13" t="str">
            <v>BA Case Study complete</v>
          </cell>
          <cell r="P13">
            <v>40277</v>
          </cell>
          <cell r="Q13">
            <v>40444</v>
          </cell>
          <cell r="S13" t="str">
            <v>CG</v>
          </cell>
          <cell r="T13" t="str">
            <v>THC, Schedule final inspection week of 09-13</v>
          </cell>
          <cell r="V13">
            <v>2</v>
          </cell>
        </row>
        <row r="14">
          <cell r="B14" t="str">
            <v>Tweedly</v>
          </cell>
          <cell r="D14">
            <v>1</v>
          </cell>
          <cell r="E14" t="str">
            <v>Synergy</v>
          </cell>
          <cell r="F14" t="str">
            <v>B</v>
          </cell>
          <cell r="G14" t="str">
            <v>Synergy</v>
          </cell>
          <cell r="H14" t="str">
            <v>Millbury</v>
          </cell>
          <cell r="I14">
            <v>1100</v>
          </cell>
          <cell r="J14" t="str">
            <v>Cape</v>
          </cell>
          <cell r="K14">
            <v>1.5</v>
          </cell>
          <cell r="L14">
            <v>1953</v>
          </cell>
          <cell r="M14" t="str">
            <v>exterior insulating sheathing, conditioned basement, ducted minisplit w/ CFIS, pellet stove</v>
          </cell>
          <cell r="N14" t="str">
            <v>Complete</v>
          </cell>
          <cell r="O14" t="str">
            <v>final inspection results sent 2010-12-01, BA case study complete</v>
          </cell>
          <cell r="P14">
            <v>40283</v>
          </cell>
          <cell r="Q14">
            <v>40506</v>
          </cell>
          <cell r="S14" t="str">
            <v>KN</v>
          </cell>
          <cell r="T14" t="str">
            <v>ventilation installation resolved after final inspection. Final blower door test Dec 11, 2010 (?)  Phil returned 2012-05-12 for additional testing</v>
          </cell>
          <cell r="V14">
            <v>3</v>
          </cell>
        </row>
        <row r="15">
          <cell r="B15" t="str">
            <v>Koh</v>
          </cell>
          <cell r="D15">
            <v>1</v>
          </cell>
          <cell r="E15" t="str">
            <v>Boston Green Building</v>
          </cell>
          <cell r="F15" t="str">
            <v>B</v>
          </cell>
          <cell r="G15" t="str">
            <v>Boston Green Building</v>
          </cell>
          <cell r="H15" t="str">
            <v>Milton</v>
          </cell>
          <cell r="I15">
            <v>1600</v>
          </cell>
          <cell r="J15" t="str">
            <v>Garrison Colonial</v>
          </cell>
          <cell r="K15">
            <v>2</v>
          </cell>
          <cell r="L15">
            <v>1960</v>
          </cell>
          <cell r="M15" t="str">
            <v>exterior insulating sheathing on walls, ccSPF under roof
conditioned basemen, HRV integrated with AHU, hydro-air from Vertex water heater</v>
          </cell>
          <cell r="N15" t="str">
            <v>Complete</v>
          </cell>
          <cell r="O15" t="str">
            <v>final inspection results sent 2010-12-27</v>
          </cell>
          <cell r="P15">
            <v>40373</v>
          </cell>
          <cell r="Q15">
            <v>40535</v>
          </cell>
          <cell r="S15" t="str">
            <v>KN</v>
          </cell>
          <cell r="T15" t="str">
            <v>THC candidate. PV, e-monitor</v>
          </cell>
          <cell r="V15">
            <v>4</v>
          </cell>
        </row>
        <row r="16">
          <cell r="B16" t="str">
            <v>Hall</v>
          </cell>
          <cell r="D16">
            <v>1</v>
          </cell>
          <cell r="E16" t="str">
            <v>Timeless Architecture</v>
          </cell>
          <cell r="F16" t="str">
            <v>A</v>
          </cell>
          <cell r="G16" t="str">
            <v>PJ Griffin / Boston Green Building</v>
          </cell>
          <cell r="H16" t="str">
            <v>Quincy</v>
          </cell>
          <cell r="I16">
            <v>1808</v>
          </cell>
          <cell r="J16" t="str">
            <v>bungalow</v>
          </cell>
          <cell r="K16">
            <v>1.5</v>
          </cell>
          <cell r="L16">
            <v>1905</v>
          </cell>
          <cell r="M16" t="str">
            <v xml:space="preserve">ZNE design, exterior insulating sheathing and advanced mechanicals, good continuity of control layers, complicated mechanicals (ASHP, furnace, HT Versa Hydro w/ solar input; Dx coil, HW coil in 3 zone AHU, radiant slab, radiant panels </v>
          </cell>
          <cell r="N16" t="str">
            <v>Complete</v>
          </cell>
          <cell r="O16" t="str">
            <v>final inspection results sent 2011-01-10</v>
          </cell>
          <cell r="P16">
            <v>40338</v>
          </cell>
          <cell r="Q16">
            <v>40550</v>
          </cell>
          <cell r="S16" t="str">
            <v>KN</v>
          </cell>
          <cell r="T16" t="str">
            <v>THC, much discussion on mechanical system, exterior insulation well executed, barely a retrofit with amount of new construction.  Moved into home Dec 23 2010</v>
          </cell>
          <cell r="V16">
            <v>5</v>
          </cell>
        </row>
        <row r="17">
          <cell r="B17" t="str">
            <v>Venable-Hwang</v>
          </cell>
          <cell r="C17" t="str">
            <v>24 Coleman</v>
          </cell>
          <cell r="D17">
            <v>2</v>
          </cell>
          <cell r="E17" t="str">
            <v>Boston Green Building</v>
          </cell>
          <cell r="F17" t="str">
            <v>B</v>
          </cell>
          <cell r="G17" t="str">
            <v>Boston Green Building</v>
          </cell>
          <cell r="H17" t="str">
            <v>Arlington</v>
          </cell>
          <cell r="I17">
            <v>2112</v>
          </cell>
          <cell r="J17" t="str">
            <v>2 family</v>
          </cell>
          <cell r="K17">
            <v>2</v>
          </cell>
          <cell r="L17">
            <v>1910</v>
          </cell>
          <cell r="M17" t="str">
            <v xml:space="preserve"> isolated basement, exterior insulating sheathing, two family, new full 3rd floor and roof, ccSPF roof</v>
          </cell>
          <cell r="N17" t="str">
            <v>Complete</v>
          </cell>
          <cell r="O17" t="str">
            <v>1st application received 06-29.  2nd application review sent 08-24, 
Final BD conducted 04-21</v>
          </cell>
          <cell r="P17">
            <v>40378</v>
          </cell>
          <cell r="Q17">
            <v>40654</v>
          </cell>
          <cell r="S17" t="str">
            <v>KN</v>
          </cell>
          <cell r="T17" t="str">
            <v>Still outstanding 09-02: Manual J corresponding to building and distribution design basis
NEEDS FINAL BD report to National Grid</v>
          </cell>
          <cell r="V17">
            <v>6</v>
          </cell>
        </row>
        <row r="18">
          <cell r="B18" t="str">
            <v>Lavine</v>
          </cell>
          <cell r="D18">
            <v>1</v>
          </cell>
          <cell r="E18" t="str">
            <v>Vahe Ohannessian</v>
          </cell>
          <cell r="F18" t="str">
            <v>B</v>
          </cell>
          <cell r="G18" t="str">
            <v>V.O.Design Build</v>
          </cell>
          <cell r="H18" t="str">
            <v>Newton</v>
          </cell>
          <cell r="I18">
            <v>1724</v>
          </cell>
          <cell r="J18" t="str">
            <v>Colonial</v>
          </cell>
          <cell r="K18">
            <v>1</v>
          </cell>
          <cell r="L18">
            <v>1930</v>
          </cell>
          <cell r="M18" t="str">
            <v>Retrofit of basement (conditioned living space) + enclosure DER, windows and doors were replaced</v>
          </cell>
          <cell r="N18" t="str">
            <v>Complete</v>
          </cell>
          <cell r="O18" t="str">
            <v>Excel spreadsheet for 1st application received 2010-12-16 but no photos or Part A, 2nd application review 2011-03-20</v>
          </cell>
          <cell r="P18">
            <v>40501</v>
          </cell>
          <cell r="Q18">
            <v>40695</v>
          </cell>
          <cell r="S18" t="str">
            <v>HW</v>
          </cell>
          <cell r="T18" t="str">
            <v>New basement slab poured before 1st application -- to be documented by photos; blower door test by others (11/19); plan THC.  Retested by PK, HW 2011-07-27</v>
          </cell>
          <cell r="V18">
            <v>7</v>
          </cell>
        </row>
        <row r="19">
          <cell r="B19" t="str">
            <v>Buhs</v>
          </cell>
          <cell r="D19">
            <v>3</v>
          </cell>
          <cell r="E19" t="str">
            <v>Byggmeister</v>
          </cell>
          <cell r="F19" t="str">
            <v>B</v>
          </cell>
          <cell r="G19" t="str">
            <v>Byggmeister</v>
          </cell>
          <cell r="H19" t="str">
            <v>Jamaica Plain</v>
          </cell>
          <cell r="I19">
            <v>3885</v>
          </cell>
          <cell r="J19" t="str">
            <v>3-family</v>
          </cell>
          <cell r="K19">
            <v>3</v>
          </cell>
          <cell r="L19">
            <v>1907</v>
          </cell>
          <cell r="M19" t="str">
            <v>3 family, historic-ish, slate roof insulated below air gap</v>
          </cell>
          <cell r="N19" t="str">
            <v>Complete</v>
          </cell>
          <cell r="O19" t="str">
            <v>final inspection results prepared 7/5/2011</v>
          </cell>
          <cell r="P19">
            <v>40519</v>
          </cell>
          <cell r="Q19">
            <v>40725</v>
          </cell>
          <cell r="S19" t="str">
            <v>CG</v>
          </cell>
          <cell r="V19">
            <v>8</v>
          </cell>
        </row>
        <row r="20">
          <cell r="B20" t="str">
            <v>Wick</v>
          </cell>
          <cell r="C20" t="str">
            <v>Missy Wick</v>
          </cell>
          <cell r="D20">
            <v>1</v>
          </cell>
          <cell r="E20" t="str">
            <v>Coldham &amp; Hartman</v>
          </cell>
          <cell r="F20" t="str">
            <v>A</v>
          </cell>
          <cell r="G20" t="str">
            <v>Kent Hicks Construction</v>
          </cell>
          <cell r="H20" t="str">
            <v>Northampton</v>
          </cell>
          <cell r="I20">
            <v>2032</v>
          </cell>
          <cell r="J20" t="str">
            <v>Victorian</v>
          </cell>
          <cell r="K20">
            <v>1</v>
          </cell>
          <cell r="L20">
            <v>1859</v>
          </cell>
          <cell r="M20" t="str">
            <v>exterior insulation, conditioned basement; significant part of project is new construction</v>
          </cell>
          <cell r="N20" t="str">
            <v>Complete</v>
          </cell>
          <cell r="O20" t="str">
            <v>1st application review sent 08-30; 2nd application review sent 2010-11-10 -- calculation for duct layout requested; received contract 12/21, final site visit with blower door test conducted on 2011-07-06</v>
          </cell>
          <cell r="Q20">
            <v>40730</v>
          </cell>
          <cell r="S20" t="str">
            <v>HW</v>
          </cell>
          <cell r="T20" t="str">
            <v>THC candidate -- BSC approved calcs for THC.  Project switched to GSHP.  KN, HW did follow-up guarded BD test 9/30/2011</v>
          </cell>
          <cell r="V20">
            <v>9</v>
          </cell>
        </row>
        <row r="21">
          <cell r="B21" t="str">
            <v>Habitat for Humanity of North Central Massachusetts</v>
          </cell>
          <cell r="C21" t="str">
            <v>Habitat-Lancaster</v>
          </cell>
          <cell r="D21">
            <v>1</v>
          </cell>
          <cell r="E21" t="str">
            <v>Jeff Richards</v>
          </cell>
          <cell r="F21" t="str">
            <v>A</v>
          </cell>
          <cell r="G21" t="str">
            <v>Habitat/
Transformations</v>
          </cell>
          <cell r="H21" t="str">
            <v>Lancaster</v>
          </cell>
          <cell r="I21">
            <v>908</v>
          </cell>
          <cell r="J21" t="str">
            <v>Cape to Colonial</v>
          </cell>
          <cell r="K21">
            <v>2</v>
          </cell>
          <cell r="L21">
            <v>1900</v>
          </cell>
          <cell r="M21" t="str">
            <v>Remove roof, reframe 2nd floor walls and add new truss roof, insulate with cellulose, 4" of XPS on the walls over breather mesh with closed cell in the wall cavity, closed cell on the basement walls and open cell on the rim joist, 2" of XPS under the new slab, new windows, new mechanical system</v>
          </cell>
          <cell r="N21" t="str">
            <v>Complete</v>
          </cell>
          <cell r="O21" t="str">
            <v>1st application review sent 2011-03, site visit 2011-05-12, 2nd application review sent 2011-05-23, final inspection and BD 2011-08-05</v>
          </cell>
          <cell r="Q21">
            <v>40760</v>
          </cell>
          <cell r="S21" t="str">
            <v>HW</v>
          </cell>
          <cell r="V21">
            <v>10</v>
          </cell>
        </row>
        <row r="22">
          <cell r="B22" t="str">
            <v>Aquiline</v>
          </cell>
          <cell r="D22">
            <v>1</v>
          </cell>
          <cell r="E22" t="str">
            <v>Synergy</v>
          </cell>
          <cell r="F22" t="str">
            <v>B</v>
          </cell>
          <cell r="G22" t="str">
            <v>Synergy</v>
          </cell>
          <cell r="H22" t="str">
            <v>Brookline</v>
          </cell>
          <cell r="I22">
            <v>2284</v>
          </cell>
          <cell r="J22" t="str">
            <v>Victorian</v>
          </cell>
          <cell r="K22">
            <v>3</v>
          </cell>
          <cell r="L22">
            <v>1899</v>
          </cell>
          <cell r="M22" t="str">
            <v>Partial retrofit - 4" polyiso on the walls, wood siding, new windows, basement insulation at rim joist, new boiler, HRV unit, connect previous measures with new measures</v>
          </cell>
          <cell r="N22" t="str">
            <v>Complete</v>
          </cell>
          <cell r="O22" t="str">
            <v>1st application review sent 2010-10-29; Not approved until combustion safety of existing boiler is addressed, 2nd application review sent 2011-04-12, revisions to 2nd application sent 2011-05-23, site visit 2011-05-24, site visit 2011-07-27</v>
          </cell>
          <cell r="P22">
            <v>40623</v>
          </cell>
          <cell r="Q22">
            <v>40863</v>
          </cell>
          <cell r="S22" t="str">
            <v>HW</v>
          </cell>
          <cell r="T22" t="str">
            <v>new windows and roof insulation as part of earlier retorift stages.  Boiler likely to remain.</v>
          </cell>
          <cell r="V22">
            <v>11</v>
          </cell>
        </row>
        <row r="23">
          <cell r="B23" t="str">
            <v>Atkins</v>
          </cell>
          <cell r="C23" t="str">
            <v>Jill Atkins</v>
          </cell>
          <cell r="D23">
            <v>1</v>
          </cell>
          <cell r="E23" t="str">
            <v xml:space="preserve">Jim Basnett </v>
          </cell>
          <cell r="F23" t="str">
            <v>B</v>
          </cell>
          <cell r="G23" t="str">
            <v>Basenett</v>
          </cell>
          <cell r="H23" t="str">
            <v>Westford</v>
          </cell>
          <cell r="I23">
            <v>2906</v>
          </cell>
          <cell r="J23" t="str">
            <v>Colonial</v>
          </cell>
          <cell r="K23">
            <v>2</v>
          </cell>
          <cell r="L23">
            <v>1993</v>
          </cell>
          <cell r="M23" t="str">
            <v>Partial retrofit (windows not DER and basement floor not insulated); 3" polyiso on ext walls; closed cell spray under roof deck</v>
          </cell>
          <cell r="N23" t="str">
            <v>Complete</v>
          </cell>
          <cell r="P23">
            <v>40689</v>
          </cell>
          <cell r="Q23">
            <v>40883</v>
          </cell>
          <cell r="S23" t="str">
            <v>CG</v>
          </cell>
          <cell r="T23" t="str">
            <v>Consulted with BSC prior to applying for NGID DER;</v>
          </cell>
          <cell r="V23">
            <v>12</v>
          </cell>
        </row>
        <row r="24">
          <cell r="B24" t="str">
            <v>Riley</v>
          </cell>
          <cell r="D24">
            <v>1</v>
          </cell>
          <cell r="E24" t="str">
            <v>Byggmeister</v>
          </cell>
          <cell r="F24" t="str">
            <v>B</v>
          </cell>
          <cell r="G24" t="str">
            <v>Byggmeister</v>
          </cell>
          <cell r="H24" t="str">
            <v>Jamaica Plain</v>
          </cell>
          <cell r="I24">
            <v>5663</v>
          </cell>
          <cell r="J24" t="str">
            <v>Victorian</v>
          </cell>
          <cell r="K24">
            <v>1</v>
          </cell>
          <cell r="L24">
            <v>1878</v>
          </cell>
          <cell r="M24" t="str">
            <v>Partial retrofit - basement and roof/ceiling insulation; air sealing throughout; no additonal wall insulation; restore existing windows</v>
          </cell>
          <cell r="N24" t="str">
            <v>Complete</v>
          </cell>
          <cell r="O24" t="str">
            <v>final verification and testing completed 2011-12-08</v>
          </cell>
          <cell r="Q24">
            <v>40885</v>
          </cell>
          <cell r="S24" t="str">
            <v>KN</v>
          </cell>
          <cell r="T24" t="str">
            <v xml:space="preserve">Partial.  </v>
          </cell>
          <cell r="V24">
            <v>13</v>
          </cell>
        </row>
        <row r="25">
          <cell r="B25" t="str">
            <v>Cunningham</v>
          </cell>
          <cell r="D25">
            <v>1</v>
          </cell>
          <cell r="E25" t="str">
            <v>Tobias Richon</v>
          </cell>
          <cell r="F25" t="str">
            <v>B</v>
          </cell>
          <cell r="G25" t="str">
            <v>Geoffrey H. Richon  Co</v>
          </cell>
          <cell r="H25" t="str">
            <v>Gloucester</v>
          </cell>
          <cell r="I25">
            <v>2171</v>
          </cell>
          <cell r="J25" t="str">
            <v>Single family</v>
          </cell>
          <cell r="K25">
            <v>2</v>
          </cell>
          <cell r="L25">
            <v>1920</v>
          </cell>
          <cell r="M25" t="str">
            <v>exterior insulating sheathing and new mechanicals</v>
          </cell>
          <cell r="N25" t="str">
            <v>Complete</v>
          </cell>
          <cell r="O25" t="str">
            <v>1st application approved 2010-11-24, 2nd application received 2011-05-18; final site visit 2011-12-12</v>
          </cell>
          <cell r="P25">
            <v>40674</v>
          </cell>
          <cell r="Q25">
            <v>40889</v>
          </cell>
          <cell r="S25" t="str">
            <v>CG</v>
          </cell>
          <cell r="T25" t="str">
            <v>THC, dropped.  Project just going for Level 1 incentives.</v>
          </cell>
          <cell r="V25">
            <v>14</v>
          </cell>
        </row>
        <row r="26">
          <cell r="B26" t="str">
            <v>Butler</v>
          </cell>
          <cell r="C26" t="str">
            <v>24-26 Princeton</v>
          </cell>
          <cell r="D26">
            <v>2</v>
          </cell>
          <cell r="E26" t="str">
            <v>Boston Green Building</v>
          </cell>
          <cell r="F26" t="str">
            <v>A</v>
          </cell>
          <cell r="G26" t="str">
            <v/>
          </cell>
          <cell r="H26" t="str">
            <v>Medford</v>
          </cell>
          <cell r="I26">
            <v>3200</v>
          </cell>
          <cell r="J26" t="str">
            <v>2 family gambrel</v>
          </cell>
          <cell r="K26">
            <v>3</v>
          </cell>
          <cell r="L26">
            <v>1916</v>
          </cell>
          <cell r="M26" t="str">
            <v>radical interior air barier, isolated basement, 2 family, EnerPhit for owners unit</v>
          </cell>
          <cell r="N26" t="str">
            <v>Complete</v>
          </cell>
          <cell r="O26" t="str">
            <v>final verification and testing completed 2011-12-15</v>
          </cell>
          <cell r="P26">
            <v>39982</v>
          </cell>
          <cell r="Q26">
            <v>40892</v>
          </cell>
          <cell r="S26" t="str">
            <v>KN</v>
          </cell>
          <cell r="T26" t="str">
            <v>duplex</v>
          </cell>
          <cell r="V26">
            <v>15</v>
          </cell>
        </row>
        <row r="27">
          <cell r="B27" t="str">
            <v>Biddle</v>
          </cell>
          <cell r="D27">
            <v>1</v>
          </cell>
          <cell r="E27" t="str">
            <v>Coldham &amp; Hartman</v>
          </cell>
          <cell r="F27" t="str">
            <v>A</v>
          </cell>
          <cell r="G27" t="str">
            <v>Hasbrouck Custom Building/Remodeling</v>
          </cell>
          <cell r="H27" t="str">
            <v>Northampton</v>
          </cell>
          <cell r="I27">
            <v>1126</v>
          </cell>
          <cell r="J27" t="str">
            <v>Ranch</v>
          </cell>
          <cell r="K27">
            <v>1</v>
          </cell>
          <cell r="L27">
            <v>1972</v>
          </cell>
          <cell r="M27" t="str">
            <v>Partial retrofit - new second floor with double stud wall filled with cellulose insulation, 1.5" polyiso on exterior walls, existing fiberglass insluation in wall cavities, cellulose in the attic floor, new windows, polyiso on the basement walls, no slab insulation, new boiler, bathroom fans for ventilation</v>
          </cell>
          <cell r="N27" t="str">
            <v>Complete</v>
          </cell>
          <cell r="O27" t="str">
            <v>1st application review 2011-07-21, pre-retrofit site visit and blower door test 2011-07-21, second application review 2011-08-10, site visit 2011-10-03, final site visit by CET 2012-01-16</v>
          </cell>
          <cell r="P27">
            <v>40730</v>
          </cell>
          <cell r="Q27">
            <v>40924</v>
          </cell>
          <cell r="S27" t="str">
            <v>HW</v>
          </cell>
          <cell r="T27" t="str">
            <v>final measures verification by CET</v>
          </cell>
          <cell r="V27">
            <v>16</v>
          </cell>
        </row>
        <row r="28">
          <cell r="B28" t="str">
            <v>Veterans Northeast Outreach Center</v>
          </cell>
          <cell r="C28" t="str">
            <v>Amirian</v>
          </cell>
          <cell r="D28">
            <v>2</v>
          </cell>
          <cell r="E28" t="str">
            <v>Sven Amirian, Quincy Vale</v>
          </cell>
          <cell r="F28" t="str">
            <v>C</v>
          </cell>
          <cell r="G28" t="str">
            <v>TSC Construction, LLC</v>
          </cell>
          <cell r="H28" t="str">
            <v>Haverhill</v>
          </cell>
          <cell r="I28">
            <v>1542</v>
          </cell>
          <cell r="J28" t="str">
            <v>Colonial</v>
          </cell>
          <cell r="K28">
            <v>2</v>
          </cell>
          <cell r="L28">
            <v>1900</v>
          </cell>
          <cell r="M28" t="str">
            <v>conditioned basement with SPF exterior polyiso on walls and roof; SPF under roof; cellulose in wall cavities; not a chainsaw.</v>
          </cell>
          <cell r="N28" t="str">
            <v>Complete</v>
          </cell>
          <cell r="O28" t="str">
            <v>1st application approved10-18-2010; initial site visit 2010-11-11; initial blower door test by others; intermediate verification site visit 2011-09-28; final blower door test on 2012-03-13</v>
          </cell>
          <cell r="P28">
            <v>40392</v>
          </cell>
          <cell r="Q28">
            <v>40980</v>
          </cell>
          <cell r="S28" t="str">
            <v>CG</v>
          </cell>
          <cell r="T28" t="str">
            <v>resolved issues -&gt;[Still outstanding on 1st review: description of exterior wall and if existing windows are to be reinstalled]  Mike Browne did pre-DER test</v>
          </cell>
          <cell r="V28">
            <v>17</v>
          </cell>
        </row>
        <row r="29">
          <cell r="B29" t="str">
            <v>Bean</v>
          </cell>
          <cell r="D29">
            <v>3</v>
          </cell>
          <cell r="E29" t="str">
            <v>Boston Green Building</v>
          </cell>
          <cell r="F29" t="str">
            <v>B</v>
          </cell>
          <cell r="G29" t="str">
            <v>Boston Green Building</v>
          </cell>
          <cell r="H29" t="str">
            <v>Dorchester</v>
          </cell>
          <cell r="I29">
            <v>4200</v>
          </cell>
          <cell r="K29">
            <v>3</v>
          </cell>
          <cell r="M29" t="str">
            <v>3 family, isolated basement, possibly historic significant, exterior wall insulation, interior roof insulation, attached existing porch, new decks independent.</v>
          </cell>
          <cell r="N29" t="str">
            <v>Complete</v>
          </cell>
          <cell r="O29" t="str">
            <v>1st application approved 2010-10-29; initial site visit and blower door test by BSC 11/24; test report sent 12-20; 2nd app received 2011-03-11</v>
          </cell>
          <cell r="P29">
            <v>40506</v>
          </cell>
          <cell r="Q29">
            <v>41002</v>
          </cell>
          <cell r="S29" t="str">
            <v>KN</v>
          </cell>
          <cell r="T29" t="str">
            <v>could use guidance on mechanicals, much nice detailing on existing exterior</v>
          </cell>
          <cell r="V29">
            <v>18</v>
          </cell>
        </row>
        <row r="30">
          <cell r="B30" t="str">
            <v>Mampre</v>
          </cell>
          <cell r="D30">
            <v>1</v>
          </cell>
          <cell r="E30" t="str">
            <v>Synergy</v>
          </cell>
          <cell r="F30" t="str">
            <v>B</v>
          </cell>
          <cell r="G30" t="str">
            <v>Synergy</v>
          </cell>
          <cell r="H30" t="str">
            <v>Rutland</v>
          </cell>
          <cell r="I30">
            <v>1415</v>
          </cell>
          <cell r="J30" t="str">
            <v>Cape</v>
          </cell>
          <cell r="K30">
            <v>1</v>
          </cell>
          <cell r="L30">
            <v>1977</v>
          </cell>
          <cell r="M30" t="str">
            <v>exterior insulation, conditioned basement, hydronic heat with ducted HRV</v>
          </cell>
          <cell r="N30" t="str">
            <v>Complete</v>
          </cell>
          <cell r="O30" t="str">
            <v>received 1st for review 08-31, review sent; initial site visit and blower door test by BSC 12/17; test report sent 12/20, 2nd application received 5/06</v>
          </cell>
          <cell r="P30">
            <v>40529</v>
          </cell>
          <cell r="Q30">
            <v>41012</v>
          </cell>
          <cell r="S30" t="str">
            <v>KN</v>
          </cell>
          <cell r="T30" t="str">
            <v>review complete, supplemental assistance on mechanicals.  Owner acting as lead DER contact</v>
          </cell>
          <cell r="V30">
            <v>19</v>
          </cell>
        </row>
        <row r="31">
          <cell r="B31" t="str">
            <v>Sorkin</v>
          </cell>
          <cell r="D31">
            <v>1</v>
          </cell>
          <cell r="E31" t="str">
            <v>Sean McWilliams</v>
          </cell>
          <cell r="F31" t="str">
            <v>B</v>
          </cell>
          <cell r="G31" t="str">
            <v>Sean Jeffords</v>
          </cell>
          <cell r="H31" t="str">
            <v>Florence</v>
          </cell>
          <cell r="I31">
            <v>2690</v>
          </cell>
          <cell r="J31" t="str">
            <v>Victorian</v>
          </cell>
          <cell r="K31">
            <v>2</v>
          </cell>
          <cell r="L31">
            <v>1880</v>
          </cell>
          <cell r="M31" t="str">
            <v>Partial retrofit because walls and windows are not included; basement floor insulation placed over sleepers</v>
          </cell>
          <cell r="N31" t="str">
            <v>Complete</v>
          </cell>
          <cell r="O31" t="str">
            <v xml:space="preserve">1st application  reviewed 2011-03-07; 1st site visit (KN) on 2011-08-17; 2nd application reviewed 2011-08-11  and requested updated dwgs; updated dwgs received 2011-09-18; site visit by CET 2011-11-18 with final report submited 2011-12-08 noting changes to implementation; BSC reviewed changed implementation 2012-01-04; CET did final site visit on 2012-04-20 -- final questions still pending </v>
          </cell>
          <cell r="P31">
            <v>40772</v>
          </cell>
          <cell r="Q31">
            <v>41041</v>
          </cell>
          <cell r="S31" t="str">
            <v>CG</v>
          </cell>
          <cell r="T31" t="str">
            <v>CET (Mark Newey) did measurement verifications</v>
          </cell>
          <cell r="V31">
            <v>20</v>
          </cell>
        </row>
        <row r="32">
          <cell r="B32" t="str">
            <v>Jalbert</v>
          </cell>
          <cell r="D32">
            <v>1</v>
          </cell>
          <cell r="E32" t="str">
            <v>Home Energy, Inc</v>
          </cell>
          <cell r="F32" t="str">
            <v>B</v>
          </cell>
          <cell r="G32" t="str">
            <v>John Call</v>
          </cell>
          <cell r="H32" t="str">
            <v>Methuen, MA</v>
          </cell>
          <cell r="I32">
            <v>767</v>
          </cell>
          <cell r="J32" t="str">
            <v>Bungalow</v>
          </cell>
          <cell r="K32">
            <v>2</v>
          </cell>
          <cell r="L32">
            <v>1940</v>
          </cell>
          <cell r="M32" t="str">
            <v>Adding second floor to bungalow with walk-out; using Atlas nail base insulation on exterior of framed walls and interior of basement walls.</v>
          </cell>
          <cell r="N32" t="str">
            <v>Complete</v>
          </cell>
          <cell r="O32" t="str">
            <v>1st application reviewed 2012-02-03; 2nd application with follow up approved on 2012-04-12</v>
          </cell>
          <cell r="P32">
            <v>40954</v>
          </cell>
          <cell r="Q32">
            <v>41102</v>
          </cell>
          <cell r="S32" t="str">
            <v>CG</v>
          </cell>
          <cell r="T32" t="str">
            <v>Using Atlas nail base insulation on exterior walls and basement walls.</v>
          </cell>
          <cell r="V32">
            <v>21</v>
          </cell>
        </row>
        <row r="33">
          <cell r="B33" t="str">
            <v>Northern Berkshire Habitat for Humanity</v>
          </cell>
          <cell r="C33" t="str">
            <v>Paul Austin</v>
          </cell>
          <cell r="D33">
            <v>1</v>
          </cell>
          <cell r="E33" t="str">
            <v>NBHfH</v>
          </cell>
          <cell r="F33" t="str">
            <v>B</v>
          </cell>
          <cell r="G33" t="str">
            <v>NBHfH</v>
          </cell>
          <cell r="H33" t="str">
            <v>Williamstown</v>
          </cell>
          <cell r="I33">
            <v>759</v>
          </cell>
          <cell r="J33" t="str">
            <v>Ranch</v>
          </cell>
          <cell r="K33">
            <v>1</v>
          </cell>
          <cell r="L33">
            <v>1940</v>
          </cell>
          <cell r="M33" t="str">
            <v>exterior wall insulation, cellulose attic floor, add second floor, condition basement, add (presently non-existant) mechanicals, windows in plane of drainage plane w/ inset buck</v>
          </cell>
          <cell r="N33" t="str">
            <v>Complete</v>
          </cell>
          <cell r="O33" t="str">
            <v>1st application approved 2010-7-23; 2nd application review sent 2010-11-16 requesting additional info per 1st review; revised 2nd app submission reviewed 2011-02-15</v>
          </cell>
          <cell r="P33">
            <v>40439</v>
          </cell>
          <cell r="Q33">
            <v>40729</v>
          </cell>
          <cell r="R33">
            <v>41134</v>
          </cell>
          <cell r="S33" t="str">
            <v>KN</v>
          </cell>
          <cell r="T33" t="str">
            <v>CET did pre-work BD, interior already gutted.  Visit site for window mock-up.  Follow up visit verified details.</v>
          </cell>
          <cell r="V33">
            <v>26</v>
          </cell>
        </row>
        <row r="34">
          <cell r="B34" t="str">
            <v>Slough</v>
          </cell>
          <cell r="D34">
            <v>1</v>
          </cell>
          <cell r="E34" t="str">
            <v>Coldham &amp; Hartman</v>
          </cell>
          <cell r="F34" t="str">
            <v>A</v>
          </cell>
          <cell r="G34" t="str">
            <v>Steve Ferrari</v>
          </cell>
          <cell r="H34" t="str">
            <v>Northampton</v>
          </cell>
          <cell r="I34">
            <v>1284</v>
          </cell>
          <cell r="J34" t="str">
            <v>Victorian</v>
          </cell>
          <cell r="K34">
            <v>2</v>
          </cell>
          <cell r="L34">
            <v>1900</v>
          </cell>
          <cell r="M34" t="str">
            <v>mixed retrofit of older structure and new construction of small addition, Exterior insulation on roof and walls, inclusion of attic, homeowner to insulate existing basement slab later</v>
          </cell>
          <cell r="N34" t="str">
            <v>Complete</v>
          </cell>
          <cell r="O34" t="str">
            <v>2nd application reviewed 2012-01-13</v>
          </cell>
          <cell r="Q34">
            <v>41011</v>
          </cell>
          <cell r="R34">
            <v>41149</v>
          </cell>
          <cell r="S34" t="str">
            <v>KN</v>
          </cell>
          <cell r="T34" t="str">
            <v>Coldham Hartman supplied the pre-work test data. Mark Newey of CET conducting field verifications</v>
          </cell>
          <cell r="V34">
            <v>32</v>
          </cell>
        </row>
        <row r="35">
          <cell r="B35" t="str">
            <v>Mills</v>
          </cell>
          <cell r="C35" t="str">
            <v>Zack Norwood</v>
          </cell>
          <cell r="D35">
            <v>1</v>
          </cell>
          <cell r="E35" t="str">
            <v>Paul Eldrenkamp</v>
          </cell>
          <cell r="F35" t="str">
            <v>C</v>
          </cell>
          <cell r="G35" t="str">
            <v>Brian Marcotte</v>
          </cell>
          <cell r="H35" t="str">
            <v>Wakefield, RI</v>
          </cell>
          <cell r="I35">
            <v>2200</v>
          </cell>
          <cell r="J35" t="str">
            <v>Contemporary</v>
          </cell>
          <cell r="K35">
            <v>2</v>
          </cell>
          <cell r="L35">
            <v>1979</v>
          </cell>
          <cell r="M35" t="str">
            <v>appears to have been designed as passive solar, thick exterior insulation, Passive House, kitchen exhaust through HRV</v>
          </cell>
          <cell r="N35" t="str">
            <v>Complete</v>
          </cell>
          <cell r="P35">
            <v>40990</v>
          </cell>
          <cell r="Q35">
            <v>41156</v>
          </cell>
          <cell r="R35">
            <v>41156</v>
          </cell>
          <cell r="S35" t="str">
            <v>KN</v>
          </cell>
          <cell r="T35" t="str">
            <v>passive house ventilation</v>
          </cell>
          <cell r="V35">
            <v>22</v>
          </cell>
        </row>
        <row r="36">
          <cell r="B36" t="str">
            <v>Oliver</v>
          </cell>
          <cell r="C36" t="str">
            <v>Jeff Oliver</v>
          </cell>
          <cell r="D36">
            <v>3</v>
          </cell>
          <cell r="E36" t="str">
            <v>Synergy</v>
          </cell>
          <cell r="F36" t="str">
            <v>B</v>
          </cell>
          <cell r="G36" t="str">
            <v>Synergy</v>
          </cell>
          <cell r="H36" t="str">
            <v>Worcester</v>
          </cell>
          <cell r="I36">
            <v>2100</v>
          </cell>
          <cell r="J36" t="str">
            <v>3 family</v>
          </cell>
          <cell r="K36">
            <v>3</v>
          </cell>
          <cell r="L36">
            <v>1890</v>
          </cell>
          <cell r="M36" t="str">
            <v>exterior insulation, conditioned basement, on demand water heaters, ductless minisplit w/ ducted HRV.</v>
          </cell>
          <cell r="N36" t="str">
            <v>Complete</v>
          </cell>
          <cell r="O36" t="str">
            <v>1st application approved 2010-10-29; initial site visit and blower door test by BSC 12/17; test report sent 12-20.</v>
          </cell>
          <cell r="P36">
            <v>40529</v>
          </cell>
          <cell r="Q36">
            <v>41012</v>
          </cell>
          <cell r="R36">
            <v>41166</v>
          </cell>
          <cell r="S36" t="str">
            <v>KN</v>
          </cell>
          <cell r="T36" t="str">
            <v>possible opportunity for combi system, but 2 units have rinnai wall furnace installed presently.   2011-08-30: project will use hyper heat minisplits, no combustion heating.</v>
          </cell>
          <cell r="V36">
            <v>30</v>
          </cell>
        </row>
        <row r="37">
          <cell r="B37" t="str">
            <v>move completed projects to row above</v>
          </cell>
          <cell r="D37">
            <v>1</v>
          </cell>
          <cell r="E37" t="str">
            <v>Mark Yanowitz, Verdeco Designs LLC</v>
          </cell>
          <cell r="F37" t="str">
            <v>A</v>
          </cell>
          <cell r="H37" t="str">
            <v>Lowell</v>
          </cell>
          <cell r="I37">
            <v>1332</v>
          </cell>
          <cell r="J37" t="str">
            <v>Colonial</v>
          </cell>
          <cell r="K37">
            <v>2</v>
          </cell>
          <cell r="L37">
            <v>1924</v>
          </cell>
          <cell r="M37" t="str">
            <v xml:space="preserve">Retrofit with addition; Cascadia standoffs for mteal siding attachment; 2 layers of CavityRock insulaton on exterior of walls; rockwool batts in vented roof; unvented attic; conditioned basement but uninsulated floors. </v>
          </cell>
          <cell r="N37" t="str">
            <v>Complete</v>
          </cell>
          <cell r="O37" t="str">
            <v>2nd application with follow-up formally approved on 2012-05-02; pre-DER blower door test performed 2012-05-03</v>
          </cell>
          <cell r="P37">
            <v>41041</v>
          </cell>
          <cell r="Q37">
            <v>41242</v>
          </cell>
          <cell r="R37" t="str">
            <v>unknown</v>
          </cell>
          <cell r="S37" t="str">
            <v>CG</v>
          </cell>
          <cell r="T37" t="str">
            <v xml:space="preserve">At final visit (KN), (metal) siding had not been installed.  Bird were making tunnel shelters out of the exterior mineral wool.  Interior gypsum board was not yet installed.  </v>
          </cell>
          <cell r="V37">
            <v>23</v>
          </cell>
        </row>
        <row r="38">
          <cell r="B38" t="str">
            <v>Groton School</v>
          </cell>
          <cell r="D38">
            <v>1</v>
          </cell>
          <cell r="E38" t="str">
            <v>Synergy</v>
          </cell>
          <cell r="F38" t="str">
            <v>B</v>
          </cell>
          <cell r="G38" t="str">
            <v>Friedrich Construction, Inc.</v>
          </cell>
          <cell r="H38" t="str">
            <v>Groton</v>
          </cell>
          <cell r="I38">
            <v>2222</v>
          </cell>
          <cell r="J38" t="str">
            <v>Colonial</v>
          </cell>
          <cell r="K38">
            <v>2</v>
          </cell>
          <cell r="L38">
            <v>1961</v>
          </cell>
          <cell r="M38" t="str">
            <v>single family, house fire triggered retrofit, 4" foam on walls and roof, basement and attic in thermal enclosure</v>
          </cell>
          <cell r="N38" t="str">
            <v>?</v>
          </cell>
          <cell r="O38" t="str">
            <v>1st application received 2011-06-03; initial blower door test by others; 1st application review sent 2011-06-15</v>
          </cell>
          <cell r="P38">
            <v>41011</v>
          </cell>
          <cell r="Q38">
            <v>40952</v>
          </cell>
          <cell r="R38">
            <v>40735</v>
          </cell>
          <cell r="S38" t="str">
            <v>KB</v>
          </cell>
          <cell r="T38" t="str">
            <v>Project will be dropped unless they project team agrees to open up areas for inspection (call with Marie 2011-10-18), UPDATE: areas opened up for inspection 2012-02-13 and reviewed by KB and KN.</v>
          </cell>
          <cell r="V38">
            <v>24</v>
          </cell>
        </row>
        <row r="39">
          <cell r="B39" t="str">
            <v>insert rows/move rows above</v>
          </cell>
          <cell r="D39">
            <v>2</v>
          </cell>
          <cell r="E39" t="str">
            <v>Dave Caldwell</v>
          </cell>
          <cell r="F39" t="str">
            <v>B</v>
          </cell>
          <cell r="G39" t="str">
            <v>Caldwell &amp; Johnson, Inc.</v>
          </cell>
          <cell r="H39" t="str">
            <v>North Kingstown, RI</v>
          </cell>
          <cell r="I39">
            <v>3520</v>
          </cell>
          <cell r="J39" t="str">
            <v>Ranch</v>
          </cell>
          <cell r="K39">
            <v>1</v>
          </cell>
          <cell r="L39">
            <v>1962</v>
          </cell>
          <cell r="M39" t="str">
            <v>Complete gut of a neglected home, new roof with 18" of open cell spray foam, 2x4 exoskelton built to the outside of existing 2x4 wall, interior framing filled with open cell, exterior framing filled with closed cell, 1.5" of polyiso on the outside, new windows, new mechanical system, 4" on the outside of foundation walls, aerogel on the basement slab</v>
          </cell>
          <cell r="N39" t="str">
            <v>Complete</v>
          </cell>
          <cell r="O39" t="str">
            <v>1st application received 11-03-11; initial blower door test and energy modeling by others, 1st application review sent 2011-05-06, 2nd application received 2011-06-29, phone call with builder on 2011-07-22, 2nd application review sent 2011-07-22</v>
          </cell>
          <cell r="Q39">
            <v>41214</v>
          </cell>
          <cell r="R39">
            <v>41214</v>
          </cell>
          <cell r="S39" t="str">
            <v>HW</v>
          </cell>
          <cell r="T39" t="str">
            <v>Souse was already in construction when the 1st application was submitted, the review was done while the house was in construction.</v>
          </cell>
          <cell r="V39">
            <v>25</v>
          </cell>
        </row>
        <row r="40">
          <cell r="B40" t="str">
            <v>Caldwell</v>
          </cell>
          <cell r="D40">
            <v>2</v>
          </cell>
          <cell r="E40" t="str">
            <v>Dave Caldwell</v>
          </cell>
          <cell r="F40" t="str">
            <v>B</v>
          </cell>
          <cell r="G40" t="str">
            <v>Caldwell &amp; Johnson, Inc.</v>
          </cell>
          <cell r="H40" t="str">
            <v>North Kingstown, RI</v>
          </cell>
          <cell r="I40">
            <v>3520</v>
          </cell>
          <cell r="J40" t="str">
            <v>Ranch</v>
          </cell>
          <cell r="K40">
            <v>1</v>
          </cell>
          <cell r="L40">
            <v>1962</v>
          </cell>
          <cell r="M40" t="str">
            <v>Complete gut of a neglected home, new roof with 18" of open cell spray foam, 2x4 exoskelton built to the outside of existing 2x4 wall, interior framing filled with open cell, exterior framing filled with closed cell, 1.5" of polyiso on the outside, new windows, new mechanical system, 4" on the outside of foundation walls, aerogel on the basement slab</v>
          </cell>
          <cell r="N40" t="str">
            <v>In Construction</v>
          </cell>
          <cell r="O40" t="str">
            <v>1st application received 11-03-11; initial blower door test and energy modeling by others, 1st application review sent 2011-05-06, 2nd application received 2011-06-29, phone call with builder on 2011-07-22, 2nd application review sent 2011-07-22</v>
          </cell>
          <cell r="P40">
            <v>40711</v>
          </cell>
          <cell r="Q40">
            <v>40431</v>
          </cell>
          <cell r="R40" t="str">
            <v>unknown</v>
          </cell>
          <cell r="S40" t="str">
            <v>HW</v>
          </cell>
          <cell r="T40" t="str">
            <v>house was already in construction when the 1st application was submitted, the review was done while the house is in construction</v>
          </cell>
          <cell r="V40">
            <v>27</v>
          </cell>
        </row>
        <row r="41">
          <cell r="B41" t="str">
            <v>Mullare-Rivera</v>
          </cell>
          <cell r="D41">
            <v>1</v>
          </cell>
          <cell r="E41" t="str">
            <v>Zero Energy Design</v>
          </cell>
          <cell r="F41" t="str">
            <v>C</v>
          </cell>
          <cell r="G41" t="str">
            <v/>
          </cell>
          <cell r="H41" t="str">
            <v>Cohasset</v>
          </cell>
          <cell r="I41">
            <v>2050</v>
          </cell>
          <cell r="J41" t="str">
            <v>Contemporary</v>
          </cell>
          <cell r="K41">
            <v>1.5</v>
          </cell>
          <cell r="L41">
            <v>1983</v>
          </cell>
          <cell r="M41" t="str">
            <v>included basement, superinsulation strategy not yet determined</v>
          </cell>
          <cell r="N41" t="str">
            <v>In Construction</v>
          </cell>
          <cell r="P41">
            <v>40406</v>
          </cell>
          <cell r="Q41">
            <v>40535</v>
          </cell>
          <cell r="R41">
            <v>41242</v>
          </cell>
          <cell r="S41" t="str">
            <v>KN</v>
          </cell>
          <cell r="T41" t="str">
            <v>some changes to project plan submitted and approved regarding courtyard roof and sequence.</v>
          </cell>
          <cell r="V41">
            <v>28</v>
          </cell>
        </row>
        <row r="42">
          <cell r="B42" t="str">
            <v>Morrison</v>
          </cell>
          <cell r="D42">
            <v>1</v>
          </cell>
          <cell r="E42" t="str">
            <v>Transformations</v>
          </cell>
          <cell r="F42" t="str">
            <v>C</v>
          </cell>
          <cell r="G42" t="str">
            <v>Boston Green Building</v>
          </cell>
          <cell r="H42" t="str">
            <v>Sudbury</v>
          </cell>
          <cell r="I42">
            <v>1320</v>
          </cell>
          <cell r="J42" t="str">
            <v>Raised Ranch</v>
          </cell>
          <cell r="K42">
            <v>1</v>
          </cell>
          <cell r="L42">
            <v>1960</v>
          </cell>
          <cell r="M42" t="str">
            <v>4" of polyiso on the above grade walls, loose fiberglass or cellulose in stud cavities, 4" of polyiso on the roof, 10" of cellulose between rafters, 4" of XPS on exterior of foundation walls, 1" of XPS over existing slab, Paradigm windows, new furnace and DHW</v>
          </cell>
          <cell r="N42" t="str">
            <v>In Construction</v>
          </cell>
          <cell r="O42" t="str">
            <v>1st application reviewed 2011-06-14, pre-retrofit site visit with blower door test conducted on 2011-06-17</v>
          </cell>
          <cell r="P42">
            <v>40711</v>
          </cell>
          <cell r="Q42">
            <v>41004</v>
          </cell>
          <cell r="R42" t="str">
            <v>unknown</v>
          </cell>
          <cell r="S42" t="str">
            <v>HW</v>
          </cell>
          <cell r="T42" t="str">
            <v>THC candidate</v>
          </cell>
          <cell r="V42">
            <v>29</v>
          </cell>
        </row>
        <row r="43">
          <cell r="B43" t="str">
            <v>Enos</v>
          </cell>
          <cell r="C43" t="str">
            <v>Chris Martin</v>
          </cell>
          <cell r="D43">
            <v>2</v>
          </cell>
          <cell r="E43" t="str">
            <v>Coldham &amp; Hartman</v>
          </cell>
          <cell r="F43" t="str">
            <v>A</v>
          </cell>
          <cell r="G43" t="str">
            <v>Synergy</v>
          </cell>
          <cell r="H43" t="str">
            <v>Bedford</v>
          </cell>
          <cell r="I43">
            <v>1956</v>
          </cell>
          <cell r="J43" t="str">
            <v>Farmhouse</v>
          </cell>
          <cell r="K43">
            <v>2</v>
          </cell>
          <cell r="L43">
            <v>1875</v>
          </cell>
          <cell r="M43" t="str">
            <v>existing farmhouse with addition of garage with new dwelling unit above garage; 4" of polyiso on existing house walls and roof, 1 1/2" of rigid foam on addition; garage insulated but not conditioned</v>
          </cell>
          <cell r="N43" t="str">
            <v>In Construction</v>
          </cell>
          <cell r="O43" t="str">
            <v>1st application review sent 2011-11-11. 2nd application review sent 2012-02-23. 2nd application response review sent 2012-04-10.</v>
          </cell>
          <cell r="P43">
            <v>40851</v>
          </cell>
          <cell r="Q43">
            <v>41214</v>
          </cell>
          <cell r="R43">
            <v>41214</v>
          </cell>
          <cell r="S43" t="str">
            <v>KB</v>
          </cell>
          <cell r="T43" t="str">
            <v>Project applied for incentives for 2 units but 1 unit is entirely new construction - waiting for word from Ngrid - will be considered 2 units. Blower door test on 2011-11-04.</v>
          </cell>
          <cell r="V43">
            <v>31</v>
          </cell>
        </row>
        <row r="44">
          <cell r="B44" t="str">
            <v>Kurkoski</v>
          </cell>
          <cell r="C44" t="str">
            <v>Chris Martin</v>
          </cell>
          <cell r="D44">
            <v>1</v>
          </cell>
          <cell r="E44" t="str">
            <v>Bick Corsa Caprentry</v>
          </cell>
          <cell r="F44" t="str">
            <v>B</v>
          </cell>
          <cell r="G44" t="str">
            <v>Byggmeister</v>
          </cell>
          <cell r="H44" t="str">
            <v>Jamaica Plain</v>
          </cell>
          <cell r="I44">
            <v>3113</v>
          </cell>
          <cell r="J44" t="str">
            <v>Brick Row House</v>
          </cell>
          <cell r="K44">
            <v>3</v>
          </cell>
          <cell r="L44">
            <v>1918</v>
          </cell>
          <cell r="M44" t="str">
            <v>Staged retrofit - 4" of polyiso on the flat roof with 12"-18" cellulose cavity insulation (roof insulation ratios were pointed out in the first review), new furnaces, fan cyclers for ventilation, weatherstripping for entry doors, new exterior basement door</v>
          </cell>
          <cell r="N44" t="str">
            <v>Complete</v>
          </cell>
          <cell r="O44" t="str">
            <v>1st application reviewed 2012-01-13, 2nd application reviewed 2012-03-13, additional information requested</v>
          </cell>
          <cell r="P44">
            <v>40826</v>
          </cell>
          <cell r="Q44">
            <v>41214</v>
          </cell>
          <cell r="R44">
            <v>41214</v>
          </cell>
          <cell r="S44" t="str">
            <v>HW</v>
          </cell>
          <cell r="V44">
            <v>33</v>
          </cell>
        </row>
        <row r="45">
          <cell r="B45" t="str">
            <v>Phoenix Apartments</v>
          </cell>
          <cell r="D45">
            <v>3</v>
          </cell>
          <cell r="E45" t="str">
            <v>Durkee Brown Architects</v>
          </cell>
          <cell r="F45" t="str">
            <v>A</v>
          </cell>
          <cell r="G45" t="str">
            <v>Pezzuco Construction</v>
          </cell>
          <cell r="H45" t="str">
            <v>Providence, RI</v>
          </cell>
          <cell r="I45">
            <v>4449</v>
          </cell>
          <cell r="J45" t="str">
            <v>Triple Family</v>
          </cell>
          <cell r="K45">
            <v>3</v>
          </cell>
          <cell r="L45">
            <v>1915</v>
          </cell>
          <cell r="M45" t="str">
            <v>Comprehensive retrofit - medium density spray foam in roof rafters, wall studs, and in basement floor joists.  3" polyiso on walls, newwindows, new boiler, new HRVs</v>
          </cell>
          <cell r="N45" t="str">
            <v>In Construction</v>
          </cell>
          <cell r="O45" t="str">
            <v>1st application reviewed 2011-12-07, 2nd application reviewed 2012-02-17</v>
          </cell>
          <cell r="P45">
            <v>41019</v>
          </cell>
          <cell r="Q45">
            <v>41113</v>
          </cell>
          <cell r="R45" t="str">
            <v>unknown</v>
          </cell>
          <cell r="S45" t="str">
            <v>PK</v>
          </cell>
          <cell r="T45" t="str">
            <v>No pre-retrofit blower door available due to building already gutted.</v>
          </cell>
          <cell r="V45">
            <v>41</v>
          </cell>
        </row>
        <row r="46">
          <cell r="B46" t="str">
            <v>Phoenix II</v>
          </cell>
          <cell r="C46" t="str">
            <v>Lowe</v>
          </cell>
          <cell r="D46">
            <v>3</v>
          </cell>
          <cell r="E46" t="str">
            <v>Durkee Brown Architects</v>
          </cell>
          <cell r="F46" t="str">
            <v>A</v>
          </cell>
          <cell r="G46" t="str">
            <v>Pezzuco Construction</v>
          </cell>
          <cell r="H46" t="str">
            <v>Providence, RI</v>
          </cell>
          <cell r="I46">
            <v>3054</v>
          </cell>
          <cell r="J46" t="str">
            <v>Triple Family</v>
          </cell>
          <cell r="K46">
            <v>3</v>
          </cell>
          <cell r="L46">
            <v>1930</v>
          </cell>
          <cell r="M46" t="str">
            <v>Comprehensive retrofit - medium density spray foam in roof rafters, wall studs, and in basement floor joists.  3" polyiso on walls, newwindows, new boiler, new HRVs</v>
          </cell>
          <cell r="N46" t="str">
            <v>In Construction</v>
          </cell>
          <cell r="O46" t="str">
            <v>Excel spreadsheet for 1st application received 2010-12-16 but no photos or Part A, revised 1st application reviewed 2012-02-06</v>
          </cell>
          <cell r="P46">
            <v>41113</v>
          </cell>
          <cell r="Q46">
            <v>41214</v>
          </cell>
          <cell r="R46" t="str">
            <v>unknown</v>
          </cell>
          <cell r="S46" t="str">
            <v>PK</v>
          </cell>
          <cell r="T46" t="str">
            <v>No pre-retrofit blower door available due to building already gutted.</v>
          </cell>
          <cell r="V46">
            <v>48</v>
          </cell>
        </row>
        <row r="47">
          <cell r="B47" t="str">
            <v>Fisher</v>
          </cell>
          <cell r="C47" t="str">
            <v>Boehm</v>
          </cell>
          <cell r="D47">
            <v>1</v>
          </cell>
          <cell r="E47" t="str">
            <v>Christian Fisher</v>
          </cell>
          <cell r="F47" t="str">
            <v>B</v>
          </cell>
          <cell r="G47" t="str">
            <v>Ten Gates Development LLC</v>
          </cell>
          <cell r="H47" t="str">
            <v>Concord</v>
          </cell>
          <cell r="I47">
            <v>4409</v>
          </cell>
          <cell r="J47" t="str">
            <v>Ranch</v>
          </cell>
          <cell r="K47">
            <v>1</v>
          </cell>
          <cell r="L47">
            <v>1956</v>
          </cell>
          <cell r="M47" t="str">
            <v>Roof only DER</v>
          </cell>
          <cell r="N47" t="str">
            <v>In Construction</v>
          </cell>
          <cell r="O47" t="str">
            <v>1st application received 2012-02; 2nd application follow-up approved 2012-05-02, but project still making changes</v>
          </cell>
          <cell r="P47">
            <v>41011</v>
          </cell>
          <cell r="Q47" t="str">
            <v>unknown</v>
          </cell>
          <cell r="R47" t="str">
            <v>unknown</v>
          </cell>
          <cell r="S47" t="str">
            <v>CG</v>
          </cell>
          <cell r="V47">
            <v>34</v>
          </cell>
        </row>
        <row r="48">
          <cell r="B48" t="str">
            <v>Kartha</v>
          </cell>
          <cell r="C48" t="str">
            <v>Simko</v>
          </cell>
          <cell r="D48">
            <v>1</v>
          </cell>
          <cell r="E48" t="str">
            <v>Boston Green Building</v>
          </cell>
          <cell r="F48" t="str">
            <v>B</v>
          </cell>
          <cell r="G48" t="str">
            <v>Boston Green Building</v>
          </cell>
          <cell r="H48" t="str">
            <v>Lexington</v>
          </cell>
          <cell r="I48">
            <v>1979</v>
          </cell>
          <cell r="J48" t="str">
            <v>Cape</v>
          </cell>
          <cell r="K48">
            <v>1</v>
          </cell>
          <cell r="L48">
            <v>1946</v>
          </cell>
          <cell r="M48" t="str">
            <v>4" of polyiso on the roof, existing cellulose and new ocSPF in roof rafters, 4" of polyiso on the walls, new and existing fiberglass batts in wall cavities, ccSPFon the foundation walls, aerogel insulation on the existing slab</v>
          </cell>
          <cell r="N48" t="str">
            <v>In Construction</v>
          </cell>
          <cell r="O48" t="str">
            <v>1st application reviewed 2011-05-19, 2nd application reviewed 2012-02-22, additional information requested</v>
          </cell>
          <cell r="P48">
            <v>41000</v>
          </cell>
          <cell r="Q48">
            <v>41000</v>
          </cell>
          <cell r="R48" t="str">
            <v>unknown</v>
          </cell>
          <cell r="S48" t="str">
            <v>HW</v>
          </cell>
          <cell r="V48">
            <v>37</v>
          </cell>
        </row>
        <row r="49">
          <cell r="B49" t="str">
            <v>Takahashi</v>
          </cell>
          <cell r="D49">
            <v>2</v>
          </cell>
          <cell r="E49" t="str">
            <v>Kenji Takahashi (owner)</v>
          </cell>
          <cell r="F49" t="str">
            <v>B</v>
          </cell>
          <cell r="G49" t="str">
            <v>V.O. Design-Build, Inc.</v>
          </cell>
          <cell r="H49" t="str">
            <v>Watertown</v>
          </cell>
          <cell r="I49">
            <v>2899</v>
          </cell>
          <cell r="J49" t="str">
            <v>Duplex</v>
          </cell>
          <cell r="K49">
            <v>2</v>
          </cell>
          <cell r="L49">
            <v>1928</v>
          </cell>
          <cell r="M49" t="str">
            <v>Staged retrofit - 4" of polyiso on the roof with 5.5" ccSPF cavity insulation, 3" ccSPF on basement wall, 2" XPS on basement slab.  New dormer on rood, new dormer and UV atticspace windows replaced with R-5 units.  LowE storms installed over existing windows.  Heat pump for 2nd floor unit.  Furnace and air conditioning for 1st floor.</v>
          </cell>
          <cell r="N49" t="str">
            <v>In Construction</v>
          </cell>
          <cell r="O49" t="str">
            <v>1st application reviewed 2011-12-07, pre retrofit blower door site visit 2012-03-16, 2nd application reviewed ?</v>
          </cell>
          <cell r="P49">
            <v>40984</v>
          </cell>
          <cell r="Q49">
            <v>40952</v>
          </cell>
          <cell r="R49">
            <v>40735</v>
          </cell>
          <cell r="S49" t="str">
            <v>KB</v>
          </cell>
          <cell r="T49" t="str">
            <v>Project will be dropped unless the project team agrees to open up areas for inspection (call with Marie 2011-10-18), UPDATE: areas opened up for inspection 2012-02-13 and reviewed by KB and KN.</v>
          </cell>
          <cell r="V49">
            <v>38</v>
          </cell>
        </row>
        <row r="50">
          <cell r="B50" t="str">
            <v>Stevens</v>
          </cell>
          <cell r="D50">
            <v>1</v>
          </cell>
          <cell r="E50" t="str">
            <v>Wright Builders</v>
          </cell>
          <cell r="F50" t="str">
            <v>B</v>
          </cell>
          <cell r="G50" t="str">
            <v>Wright Builders</v>
          </cell>
          <cell r="H50" t="str">
            <v>Northampton</v>
          </cell>
          <cell r="I50">
            <v>4460</v>
          </cell>
          <cell r="J50" t="str">
            <v>Two Family</v>
          </cell>
          <cell r="K50">
            <v>3</v>
          </cell>
          <cell r="L50">
            <v>1900</v>
          </cell>
          <cell r="M50" t="str">
            <v>Comprehensive retrofit - 10" of ccSPF at the underside of the roof deck where height is an issue, 3" of ccSPF with 11.5" of cellulose where height allows, 4" of foil-faced polyiso with cellulose in the existing cavities, Paradigm windows and Therma-Tru doors, 4" of XPS at the brick foundation walls with ccSPF at the upper portions and rim joist, water issues in the basement, 2 layers of 1" XPS at the slab with laminate flooring, Fantech 704 for ventilation, Buderus condensing boiler or air source heat pumps for heating and cooling</v>
          </cell>
          <cell r="N50" t="str">
            <v>In Construction</v>
          </cell>
          <cell r="O50" t="str">
            <v>Excel spreadhsheet for 1st application received 2012-02-03, 1st application reviewed 2012-02-15</v>
          </cell>
          <cell r="P50">
            <v>40969</v>
          </cell>
          <cell r="Q50">
            <v>41046</v>
          </cell>
          <cell r="R50">
            <v>41244</v>
          </cell>
          <cell r="S50" t="str">
            <v>KB</v>
          </cell>
          <cell r="T50" t="str">
            <v>Honorata and Ken reviewed 1st application; Katie will take project from here.</v>
          </cell>
          <cell r="V50">
            <v>46</v>
          </cell>
        </row>
        <row r="51">
          <cell r="B51" t="str">
            <v>Gleba</v>
          </cell>
          <cell r="D51">
            <v>1</v>
          </cell>
          <cell r="E51" t="str">
            <v>Mark Yanowitz, Verdeco Designs LLC</v>
          </cell>
          <cell r="F51" t="str">
            <v>A</v>
          </cell>
          <cell r="H51" t="str">
            <v>Lowell</v>
          </cell>
          <cell r="I51">
            <v>1332</v>
          </cell>
          <cell r="J51" t="str">
            <v>Colonial</v>
          </cell>
          <cell r="K51">
            <v>2</v>
          </cell>
          <cell r="L51">
            <v>1924</v>
          </cell>
          <cell r="M51" t="str">
            <v xml:space="preserve">Retrofit with addition; Cascadia standoffs for mteal siding attachment; 2 layers of CavityRock insulaton on exterior of walls; rockwool batts in vented roof; unvented attic; conditioned basement but uninsulated floors. </v>
          </cell>
          <cell r="N51" t="str">
            <v>2nd application was okayed</v>
          </cell>
          <cell r="O51" t="str">
            <v>2nd application with follow-up formally approved on 2012-05-02; pre-DER blower door test performed 2012-05-03</v>
          </cell>
          <cell r="P51">
            <v>41041</v>
          </cell>
          <cell r="Q51" t="str">
            <v>unknown</v>
          </cell>
          <cell r="R51" t="str">
            <v>unknown</v>
          </cell>
          <cell r="S51" t="str">
            <v>CG</v>
          </cell>
          <cell r="V51">
            <v>43</v>
          </cell>
        </row>
        <row r="52">
          <cell r="B52" t="str">
            <v>Simmons</v>
          </cell>
          <cell r="D52">
            <v>2</v>
          </cell>
          <cell r="E52" t="str">
            <v>Kristen Simmons (Owner/Architect)</v>
          </cell>
          <cell r="F52" t="str">
            <v>A</v>
          </cell>
          <cell r="G52" t="str">
            <v>Synergy</v>
          </cell>
          <cell r="H52" t="str">
            <v>Boston</v>
          </cell>
          <cell r="I52">
            <v>1867</v>
          </cell>
          <cell r="J52" t="str">
            <v>Duplex</v>
          </cell>
          <cell r="K52">
            <v>2</v>
          </cell>
          <cell r="L52">
            <v>1902</v>
          </cell>
          <cell r="M52" t="str">
            <v>Comprehensive retrofit with addition; 5" polyiso on roof, 8" cellulose in rafters, 5" polyiso on walls, 3.5" cellulose in stud cavity, 5" ccSPF on basement walls, 2" XPS under slab, new windows, new boilers and ERV</v>
          </cell>
          <cell r="N52" t="str">
            <v>In Construction</v>
          </cell>
          <cell r="O52" t="str">
            <v>1st app 2011-07-12, 2nd app 2012-02-29</v>
          </cell>
          <cell r="P52">
            <v>40752</v>
          </cell>
          <cell r="Q52" t="str">
            <v>unknown</v>
          </cell>
          <cell r="R52" t="str">
            <v>unknown</v>
          </cell>
          <cell r="S52" t="str">
            <v>PK</v>
          </cell>
          <cell r="V52">
            <v>44</v>
          </cell>
        </row>
        <row r="53">
          <cell r="B53" t="str">
            <v>Lowe-Passell</v>
          </cell>
          <cell r="C53" t="str">
            <v>Lowe</v>
          </cell>
          <cell r="D53">
            <v>3</v>
          </cell>
          <cell r="E53" t="str">
            <v>Durkee Brown Architects</v>
          </cell>
          <cell r="F53" t="str">
            <v>A</v>
          </cell>
          <cell r="G53" t="str">
            <v>Pezzuco Construction</v>
          </cell>
          <cell r="H53" t="str">
            <v>Providence, RI</v>
          </cell>
          <cell r="I53">
            <v>4449</v>
          </cell>
          <cell r="J53" t="str">
            <v>Triple Family</v>
          </cell>
          <cell r="K53">
            <v>3</v>
          </cell>
          <cell r="L53">
            <v>1915</v>
          </cell>
          <cell r="M53" t="str">
            <v>Comprehensive retrofit - medium density spray foam in roof rafters, wall studs, and in basement floor joists.  3" polyiso on walls, newwindows, new boiler, new HRVs</v>
          </cell>
          <cell r="N53" t="str">
            <v>In Construction</v>
          </cell>
          <cell r="O53" t="str">
            <v>1st application reviewed 2011-12-07, 2nd application reviewed 2012-02-17</v>
          </cell>
          <cell r="P53">
            <v>41019</v>
          </cell>
          <cell r="Q53">
            <v>41113</v>
          </cell>
          <cell r="R53" t="str">
            <v>unknown</v>
          </cell>
          <cell r="S53" t="str">
            <v>PK</v>
          </cell>
          <cell r="T53" t="str">
            <v>No pre-retrofit blower door available due to building already gutted.</v>
          </cell>
          <cell r="V53">
            <v>45</v>
          </cell>
        </row>
        <row r="54">
          <cell r="B54" t="str">
            <v>Buhs II</v>
          </cell>
          <cell r="D54">
            <v>1</v>
          </cell>
          <cell r="E54" t="str">
            <v>Durkee Brown Architects</v>
          </cell>
          <cell r="F54" t="str">
            <v>B</v>
          </cell>
          <cell r="G54" t="str">
            <v>Byggmeister</v>
          </cell>
          <cell r="H54" t="str">
            <v>Jamaica Plain</v>
          </cell>
          <cell r="I54">
            <v>3113</v>
          </cell>
          <cell r="J54" t="str">
            <v>Brick Row House</v>
          </cell>
          <cell r="K54">
            <v>3</v>
          </cell>
          <cell r="L54">
            <v>1918</v>
          </cell>
          <cell r="M54" t="str">
            <v>Staged retrofit - 4" of polyiso on the flat roof with 12"-18" cellulose cavity insulation (roof insulation ratios were pointed out in the first review), new furnaces, fan cyclers for ventilation, weatherstripping for entry doors, new exterior basement door</v>
          </cell>
          <cell r="N54" t="str">
            <v>In Construction</v>
          </cell>
          <cell r="O54" t="str">
            <v>1st application reviewed 2012-01-13, 2nd application reviewed 2012-03-13, additional information requested</v>
          </cell>
          <cell r="P54">
            <v>41113</v>
          </cell>
          <cell r="Q54">
            <v>41122</v>
          </cell>
          <cell r="R54" t="str">
            <v>unknown</v>
          </cell>
          <cell r="S54" t="str">
            <v>PK</v>
          </cell>
          <cell r="T54" t="str">
            <v>No pre-retrofit blower door available due to building already gutted.</v>
          </cell>
          <cell r="V54">
            <v>39</v>
          </cell>
        </row>
        <row r="55">
          <cell r="B55" t="str">
            <v>insert rows/move rows for in-construction projects above</v>
          </cell>
          <cell r="D55">
            <v>2</v>
          </cell>
          <cell r="E55" t="str">
            <v>Kenji Takahashi (owner)</v>
          </cell>
          <cell r="G55" t="str">
            <v>V.O. Design-Build, Inc.</v>
          </cell>
          <cell r="H55" t="str">
            <v>Watertown</v>
          </cell>
          <cell r="I55">
            <v>2899</v>
          </cell>
          <cell r="J55" t="str">
            <v>Duplex</v>
          </cell>
          <cell r="K55">
            <v>2</v>
          </cell>
          <cell r="L55">
            <v>1928</v>
          </cell>
          <cell r="M55" t="str">
            <v>Staged retrofit - 4" of polyiso on the roof with 5.5" ccSPF cavity insulation, 3" ccSPF on basement wall, 2" XPS on basement slab.  New dormer on rood, new dormer and UV atticspace windows replaced with R-5 units.  LowE storms installed over existing windows.  Heat pump for 2nd floor unit.  Furnace and air conditioning for 1st floor.</v>
          </cell>
          <cell r="N55" t="str">
            <v>In Construction</v>
          </cell>
          <cell r="O55" t="str">
            <v>1st application reviewed 2011-12-07, pre retrofit blower door site visit 2012-03-16, 2nd application reviewed ?</v>
          </cell>
          <cell r="P55">
            <v>40984</v>
          </cell>
          <cell r="Q55">
            <v>41157</v>
          </cell>
          <cell r="R55" t="str">
            <v>unknown</v>
          </cell>
          <cell r="S55" t="str">
            <v>PK</v>
          </cell>
          <cell r="V55">
            <v>35</v>
          </cell>
        </row>
        <row r="56">
          <cell r="B56" t="str">
            <v>Simmons</v>
          </cell>
          <cell r="D56">
            <v>2</v>
          </cell>
          <cell r="E56" t="str">
            <v>Kristen Simmons (Owner/Architect)</v>
          </cell>
          <cell r="F56" t="str">
            <v>A</v>
          </cell>
          <cell r="G56" t="str">
            <v>Synergy</v>
          </cell>
          <cell r="H56" t="str">
            <v>Boston</v>
          </cell>
          <cell r="I56">
            <v>1867</v>
          </cell>
          <cell r="J56" t="str">
            <v>Duplex</v>
          </cell>
          <cell r="K56">
            <v>2</v>
          </cell>
          <cell r="L56">
            <v>1902</v>
          </cell>
          <cell r="M56" t="str">
            <v>Comprehensive retrofit with addition; 5" polyiso on roof, 8" cellulose in rafters, 5" polyiso on walls, 3.5" cellulose in stud cavity, 5" ccSPF on basement walls, 2" XPS under slab, new windows, new boilers and ERV</v>
          </cell>
          <cell r="N56" t="str">
            <v>In Construction</v>
          </cell>
          <cell r="O56" t="str">
            <v>1st app 2011-07-12, 2nd app 2012-02-29</v>
          </cell>
          <cell r="P56">
            <v>40752</v>
          </cell>
          <cell r="Q56" t="str">
            <v>unknown</v>
          </cell>
          <cell r="R56" t="str">
            <v>unknown</v>
          </cell>
          <cell r="S56" t="str">
            <v>PK</v>
          </cell>
          <cell r="V56">
            <v>36</v>
          </cell>
        </row>
        <row r="57">
          <cell r="B57" t="str">
            <v>Fink-Simko</v>
          </cell>
          <cell r="C57" t="str">
            <v>Simko</v>
          </cell>
          <cell r="D57">
            <v>1</v>
          </cell>
          <cell r="E57" t="str">
            <v>Synergy</v>
          </cell>
          <cell r="F57" t="str">
            <v>B</v>
          </cell>
          <cell r="G57" t="str">
            <v>Synergy</v>
          </cell>
          <cell r="H57" t="str">
            <v>Melrose</v>
          </cell>
          <cell r="I57">
            <v>1576</v>
          </cell>
          <cell r="J57" t="str">
            <v>Colonial</v>
          </cell>
          <cell r="K57">
            <v>2</v>
          </cell>
          <cell r="L57">
            <v>1945</v>
          </cell>
          <cell r="M57" t="str">
            <v>Comprehensive retrofit - 6" polyiso on the roof, cellulose in the rafters, 4" polyiso on the walls, cellulose in the studs, 2" XPS and 1.5" Thermax at the basement walls, ccSPF at the rim joist, 2" XPS at the slab with drainage mat and subfloor, new Schuco windows as "Innies", new Schuco doors, Fantech HRV, Mitsubishi mini splits</v>
          </cell>
          <cell r="N57" t="str">
            <v>Pre-Construction</v>
          </cell>
          <cell r="O57" t="str">
            <v>Excel spreadsheet for 1st application received 2012-02-09, 1st application reviewed, 2012-03-06 site vist and blower door test</v>
          </cell>
          <cell r="P57">
            <v>40969</v>
          </cell>
          <cell r="Q57">
            <v>40969</v>
          </cell>
          <cell r="R57" t="str">
            <v>unknown</v>
          </cell>
          <cell r="S57" t="str">
            <v>HW</v>
          </cell>
          <cell r="V57">
            <v>40</v>
          </cell>
        </row>
        <row r="58">
          <cell r="B58" t="str">
            <v>Rosi-Kessel</v>
          </cell>
          <cell r="C58" t="str">
            <v>Boehm</v>
          </cell>
          <cell r="D58">
            <v>1</v>
          </cell>
          <cell r="E58" t="str">
            <v>Boehm Architecture</v>
          </cell>
          <cell r="F58" t="str">
            <v>A</v>
          </cell>
          <cell r="G58" t="str">
            <v>Synergy</v>
          </cell>
          <cell r="H58" t="str">
            <v>Roslindale</v>
          </cell>
          <cell r="I58">
            <v>2165</v>
          </cell>
          <cell r="J58" t="str">
            <v>Dutch colonial</v>
          </cell>
          <cell r="K58">
            <v>2</v>
          </cell>
          <cell r="L58">
            <v>1865</v>
          </cell>
          <cell r="M58" t="str">
            <v>Partial.  Exterior wall insulation, exterior roof insulation, foundation insulation, uninsulated slab, crawlspace insulated at framing, previous additions and retrofit, project includes some additions and proposes to retain some of previous renovation assemblies</v>
          </cell>
          <cell r="N58" t="str">
            <v>Pre-Construction</v>
          </cell>
          <cell r="O58" t="str">
            <v>1st application received 2012-01-25</v>
          </cell>
          <cell r="P58">
            <v>41067</v>
          </cell>
          <cell r="S58" t="str">
            <v>KN</v>
          </cell>
          <cell r="V58">
            <v>42</v>
          </cell>
        </row>
        <row r="59">
          <cell r="B59" t="str">
            <v>Joyce</v>
          </cell>
          <cell r="D59">
            <v>2</v>
          </cell>
          <cell r="E59" t="str">
            <v>Synergy</v>
          </cell>
          <cell r="F59" t="str">
            <v>B</v>
          </cell>
          <cell r="G59" t="str">
            <v>Synergy</v>
          </cell>
          <cell r="H59" t="str">
            <v>Lancaster</v>
          </cell>
          <cell r="I59">
            <v>3172</v>
          </cell>
          <cell r="J59" t="str">
            <v>Colonial</v>
          </cell>
          <cell r="K59">
            <v>2</v>
          </cell>
          <cell r="L59">
            <v>1986</v>
          </cell>
          <cell r="M59" t="str">
            <v>Comprehensive retrofit, "chainsaw" roof retrofit - Exterior foam on roof deck and existing walls</v>
          </cell>
          <cell r="N59" t="str">
            <v>Pre-Construction</v>
          </cell>
          <cell r="O59" t="str">
            <v>1st application review sent to Ngrid on 2012-03-09</v>
          </cell>
          <cell r="Q59">
            <v>41046</v>
          </cell>
          <cell r="R59" t="str">
            <v>unknown</v>
          </cell>
          <cell r="S59" t="str">
            <v>KB</v>
          </cell>
          <cell r="T59" t="str">
            <v>Honorata and Ken reviewed 1st application; Katie will take project from here.</v>
          </cell>
          <cell r="V59">
            <v>47</v>
          </cell>
        </row>
        <row r="60">
          <cell r="B60" t="str">
            <v>insert rows/move rows for in-construction projects above</v>
          </cell>
          <cell r="V60">
            <v>49</v>
          </cell>
        </row>
        <row r="61">
          <cell r="B61" t="str">
            <v>O'Connor</v>
          </cell>
          <cell r="D61">
            <v>1</v>
          </cell>
          <cell r="E61" t="str">
            <v>Henry MacLean</v>
          </cell>
          <cell r="F61" t="str">
            <v>A</v>
          </cell>
          <cell r="H61" t="str">
            <v>Milton</v>
          </cell>
          <cell r="S61" t="str">
            <v>inactive</v>
          </cell>
          <cell r="T61" t="str">
            <v>withdrew after 1st application, project cost</v>
          </cell>
          <cell r="V61">
            <v>50</v>
          </cell>
        </row>
        <row r="62">
          <cell r="B62" t="str">
            <v>Cordeiro</v>
          </cell>
          <cell r="D62">
            <v>1</v>
          </cell>
          <cell r="E62" t="str">
            <v>Living Structures, Inc.</v>
          </cell>
          <cell r="F62" t="str">
            <v>A</v>
          </cell>
          <cell r="H62" t="str">
            <v>Dorchester</v>
          </cell>
          <cell r="I62">
            <v>2586</v>
          </cell>
          <cell r="J62" t="str">
            <v>Colonial</v>
          </cell>
          <cell r="K62">
            <v>2</v>
          </cell>
          <cell r="L62">
            <v>1804</v>
          </cell>
          <cell r="N62" t="str">
            <v>1st application</v>
          </cell>
          <cell r="O62" t="str">
            <v>1st application received 2012-02-17, 1st application reviewed 2012-04-03</v>
          </cell>
          <cell r="Q62" t="str">
            <v>unknown</v>
          </cell>
          <cell r="R62" t="str">
            <v>unknown</v>
          </cell>
          <cell r="S62" t="str">
            <v>inactive</v>
          </cell>
          <cell r="V62">
            <v>51</v>
          </cell>
        </row>
        <row r="63">
          <cell r="B63" t="str">
            <v>Sautman</v>
          </cell>
          <cell r="D63">
            <v>1</v>
          </cell>
          <cell r="E63" t="str">
            <v>Coldham &amp; Hartman</v>
          </cell>
          <cell r="H63" t="str">
            <v>West Stockbridge</v>
          </cell>
          <cell r="S63" t="str">
            <v>inactive</v>
          </cell>
          <cell r="T63" t="str">
            <v>2011-10-19 withdrew after 1st application, ranch with complicated roof.  Did not want to go all the way to DER targets</v>
          </cell>
          <cell r="V63">
            <v>52</v>
          </cell>
        </row>
        <row r="64">
          <cell r="B64" t="str">
            <v>Women's Development Corporation</v>
          </cell>
          <cell r="C64" t="str">
            <v>WDC Rhode Island</v>
          </cell>
          <cell r="D64">
            <v>3</v>
          </cell>
          <cell r="E64" t="str">
            <v>Calson Construction Corporation</v>
          </cell>
          <cell r="F64" t="str">
            <v>B</v>
          </cell>
          <cell r="G64" t="str">
            <v>Calson Construction Corporation</v>
          </cell>
          <cell r="H64" t="str">
            <v>Pawtucket, RI</v>
          </cell>
          <cell r="I64">
            <v>2250</v>
          </cell>
          <cell r="J64" t="str">
            <v>Victorian</v>
          </cell>
          <cell r="K64">
            <v>3</v>
          </cell>
          <cell r="L64">
            <v>1900</v>
          </cell>
          <cell r="M64" t="str">
            <v>exterior insulation, roof insulation, basement wall insulation, existing slab insulation, storm windows, new entry doors, on demand direct vent boilers for DHW and heat, direct vent bathroom fans and range hoods</v>
          </cell>
          <cell r="N64" t="str">
            <v>1st application</v>
          </cell>
          <cell r="O64" t="str">
            <v>1st application reviewed 2011-04-29</v>
          </cell>
          <cell r="S64" t="str">
            <v>inactive</v>
          </cell>
          <cell r="T64" t="str">
            <v>withdrew after 1st application</v>
          </cell>
          <cell r="V64">
            <v>53</v>
          </cell>
        </row>
        <row r="65">
          <cell r="B65" t="str">
            <v>Flood</v>
          </cell>
          <cell r="D65">
            <v>1</v>
          </cell>
          <cell r="S65" t="str">
            <v>inactive</v>
          </cell>
          <cell r="T65" t="str">
            <v>2011-09-22 Floods dropped out of DER progragm due to setback problems.</v>
          </cell>
          <cell r="V65">
            <v>54</v>
          </cell>
        </row>
        <row r="66">
          <cell r="B66" t="str">
            <v>Graves</v>
          </cell>
          <cell r="D66">
            <v>1</v>
          </cell>
          <cell r="E66" t="str">
            <v>Synergy</v>
          </cell>
          <cell r="F66" t="str">
            <v>B</v>
          </cell>
          <cell r="G66" t="str">
            <v>Synergy</v>
          </cell>
          <cell r="H66" t="str">
            <v>Marblehead</v>
          </cell>
          <cell r="I66">
            <v>3365</v>
          </cell>
          <cell r="J66" t="str">
            <v>Single family</v>
          </cell>
          <cell r="K66">
            <v>3</v>
          </cell>
          <cell r="L66">
            <v>1845</v>
          </cell>
          <cell r="M66" t="str">
            <v>strange configuration with recent addition ! Enclosed pool!</v>
          </cell>
          <cell r="N66" t="str">
            <v>1st application</v>
          </cell>
          <cell r="O66" t="str">
            <v>1st application rejected on account of moisture and thermal issues</v>
          </cell>
          <cell r="S66" t="str">
            <v>inactive</v>
          </cell>
          <cell r="T66" t="str">
            <v>significant internal discussions and communication with project regarding the enclosed pool.  BSC present a series of measures the project would need to include to safely manage the loads from this feature.  The applicant opted to withdraw.</v>
          </cell>
          <cell r="V66">
            <v>55</v>
          </cell>
        </row>
        <row r="67">
          <cell r="B67" t="str">
            <v>Kimball</v>
          </cell>
          <cell r="D67">
            <v>1</v>
          </cell>
          <cell r="E67" t="str">
            <v>Synergy</v>
          </cell>
          <cell r="F67" t="str">
            <v>B</v>
          </cell>
          <cell r="G67" t="str">
            <v>Synergy</v>
          </cell>
          <cell r="H67" t="str">
            <v>Westborough</v>
          </cell>
          <cell r="K67">
            <v>1</v>
          </cell>
          <cell r="L67">
            <v>1912</v>
          </cell>
          <cell r="M67" t="str">
            <v>partial</v>
          </cell>
          <cell r="N67" t="str">
            <v>1st application</v>
          </cell>
          <cell r="O67" t="str">
            <v>Incomplete 1st application sent asking BSC (2010-11-1) about how to proceed with a partial roof retrofit; BSC responded to DL 11/4</v>
          </cell>
          <cell r="S67" t="str">
            <v>inactive</v>
          </cell>
          <cell r="V67">
            <v>56</v>
          </cell>
        </row>
        <row r="68">
          <cell r="B68" t="str">
            <v>Red House Farm / Paul Overgaag</v>
          </cell>
          <cell r="D68">
            <v>1</v>
          </cell>
          <cell r="E68" t="str">
            <v>Clean and Smart (Jonah DeCola)</v>
          </cell>
          <cell r="F68" t="str">
            <v>C</v>
          </cell>
          <cell r="G68" t="str">
            <v/>
          </cell>
          <cell r="H68" t="str">
            <v>Winchendon</v>
          </cell>
          <cell r="I68">
            <v>2718</v>
          </cell>
          <cell r="J68" t="str">
            <v>Greek Revival Farmhouse</v>
          </cell>
          <cell r="K68">
            <v>3</v>
          </cell>
          <cell r="L68">
            <v>1805</v>
          </cell>
          <cell r="M68" t="str">
            <v>exterior insulating sheathing
separate attached structures</v>
          </cell>
          <cell r="N68" t="str">
            <v>Inactive</v>
          </cell>
          <cell r="O68" t="str">
            <v>sparse communication after first application, consultant reported in June that project is still active</v>
          </cell>
          <cell r="S68" t="str">
            <v>inactive</v>
          </cell>
          <cell r="V68">
            <v>57</v>
          </cell>
        </row>
        <row r="69">
          <cell r="B69" t="str">
            <v>Schartman</v>
          </cell>
          <cell r="D69">
            <v>1</v>
          </cell>
          <cell r="H69" t="str">
            <v>Newburyport</v>
          </cell>
          <cell r="N69" t="str">
            <v>sent application 07-19-2009</v>
          </cell>
          <cell r="S69" t="str">
            <v>inactive</v>
          </cell>
          <cell r="V69">
            <v>58</v>
          </cell>
        </row>
        <row r="70">
          <cell r="B70" t="str">
            <v>Stannard</v>
          </cell>
          <cell r="D70">
            <v>1</v>
          </cell>
          <cell r="E70" t="str">
            <v>Synergy</v>
          </cell>
          <cell r="F70" t="str">
            <v>C</v>
          </cell>
          <cell r="G70" t="str">
            <v>Zero Energy Design</v>
          </cell>
          <cell r="H70" t="str">
            <v>Sturbridge</v>
          </cell>
          <cell r="I70">
            <v>4428</v>
          </cell>
          <cell r="J70" t="str">
            <v>Modern</v>
          </cell>
          <cell r="K70">
            <v>1</v>
          </cell>
          <cell r="M70" t="str">
            <v>Partial retrofit -- basement not being done, and only subset of windows</v>
          </cell>
          <cell r="N70" t="str">
            <v>1st application</v>
          </cell>
          <cell r="O70" t="str">
            <v>1st application approved 2010-12-16</v>
          </cell>
          <cell r="S70" t="str">
            <v>inactive</v>
          </cell>
          <cell r="V70">
            <v>59</v>
          </cell>
        </row>
        <row r="71">
          <cell r="B71" t="str">
            <v>Chan</v>
          </cell>
          <cell r="D71">
            <v>1</v>
          </cell>
          <cell r="S71" t="str">
            <v>inactive</v>
          </cell>
          <cell r="V71">
            <v>60</v>
          </cell>
        </row>
        <row r="72">
          <cell r="B72" t="str">
            <v>Livermore</v>
          </cell>
          <cell r="C72" t="str">
            <v>Livermore/O'Malley</v>
          </cell>
          <cell r="D72">
            <v>2</v>
          </cell>
          <cell r="E72" t="str">
            <v>John Livermore</v>
          </cell>
          <cell r="F72" t="str">
            <v>C</v>
          </cell>
          <cell r="G72" t="str">
            <v>Caleb Ewing, New England Green Build</v>
          </cell>
          <cell r="H72" t="str">
            <v>Marblehead</v>
          </cell>
          <cell r="I72">
            <v>2000</v>
          </cell>
          <cell r="J72" t="str">
            <v>Farmhouse</v>
          </cell>
          <cell r="K72">
            <v>3</v>
          </cell>
          <cell r="L72">
            <v>1880</v>
          </cell>
          <cell r="M72" t="str">
            <v>Roof-only partial DER - rigid insulation above roof deck, CC spray foam in existing rafter bays, updated mechanical equipment, replacement windows</v>
          </cell>
          <cell r="N72" t="str">
            <v>In construction/1st application sent back on 2011-08-19</v>
          </cell>
          <cell r="Q72">
            <v>40766</v>
          </cell>
          <cell r="S72" t="str">
            <v>inactive</v>
          </cell>
          <cell r="T72" t="str">
            <v>BSC (KB) did pre-construction blower door test on July 26, 2011. Window installation began before sending back first application. - Project has not installed rigid foam on roof and is now considering putting 2" foam on walls; DER may not move forward; Project is dropping out of pilot</v>
          </cell>
          <cell r="V72">
            <v>61</v>
          </cell>
        </row>
        <row r="73">
          <cell r="B73" t="str">
            <v>Richon</v>
          </cell>
          <cell r="C73" t="str">
            <v>Tobias Richon</v>
          </cell>
          <cell r="D73">
            <v>1</v>
          </cell>
          <cell r="E73" t="str">
            <v>Tobias Richon</v>
          </cell>
          <cell r="F73" t="str">
            <v>B</v>
          </cell>
          <cell r="G73" t="str">
            <v>Geoffrey H. Richon  Co</v>
          </cell>
          <cell r="H73" t="str">
            <v>Gloucester</v>
          </cell>
          <cell r="I73">
            <v>990</v>
          </cell>
          <cell r="J73" t="str">
            <v>Single family</v>
          </cell>
          <cell r="K73">
            <v>1</v>
          </cell>
          <cell r="L73">
            <v>1920</v>
          </cell>
          <cell r="M73" t="str">
            <v>small cottage, one 1994 addition</v>
          </cell>
          <cell r="N73" t="str">
            <v>Awaiting 2nd application</v>
          </cell>
          <cell r="O73" t="str">
            <v>1st application review sent 2011-05-06</v>
          </cell>
          <cell r="Q73">
            <v>40674</v>
          </cell>
          <cell r="S73" t="str">
            <v>inactive</v>
          </cell>
          <cell r="T73" t="str">
            <v>Told by Oliver on 2012-02-17 that project will  not be moving forward.</v>
          </cell>
          <cell r="V73">
            <v>62</v>
          </cell>
        </row>
        <row r="74">
          <cell r="B74" t="str">
            <v>Schneider</v>
          </cell>
          <cell r="D74">
            <v>1</v>
          </cell>
          <cell r="E74" t="str">
            <v>Henry MacLean</v>
          </cell>
          <cell r="F74" t="str">
            <v>A</v>
          </cell>
          <cell r="H74" t="str">
            <v>Norton</v>
          </cell>
          <cell r="S74" t="str">
            <v>inactive</v>
          </cell>
          <cell r="V74">
            <v>63</v>
          </cell>
        </row>
        <row r="75">
          <cell r="B75" t="str">
            <v>Harwood</v>
          </cell>
          <cell r="D75">
            <v>1</v>
          </cell>
          <cell r="E75" t="str">
            <v>Wright Builders</v>
          </cell>
          <cell r="F75" t="str">
            <v>B</v>
          </cell>
          <cell r="G75" t="str">
            <v>Wright Builders</v>
          </cell>
          <cell r="H75" t="str">
            <v>Lenox</v>
          </cell>
          <cell r="I75">
            <v>3355</v>
          </cell>
          <cell r="J75" t="str">
            <v>Victorian</v>
          </cell>
          <cell r="K75">
            <v>2</v>
          </cell>
          <cell r="L75">
            <v>1912</v>
          </cell>
          <cell r="N75" t="str">
            <v>1st application</v>
          </cell>
          <cell r="S75" t="str">
            <v>inactive</v>
          </cell>
          <cell r="V75">
            <v>64</v>
          </cell>
        </row>
        <row r="76">
          <cell r="B76" t="str">
            <v>Brekken</v>
          </cell>
          <cell r="D76">
            <v>1</v>
          </cell>
          <cell r="H76" t="str">
            <v>Arlington</v>
          </cell>
          <cell r="I76">
            <v>1930</v>
          </cell>
          <cell r="J76" t="str">
            <v>Cape</v>
          </cell>
          <cell r="K76">
            <v>2</v>
          </cell>
          <cell r="L76">
            <v>1962</v>
          </cell>
          <cell r="M76" t="str">
            <v>Cape to Colonial conversion; insulation under roof deck; 4" polyiso on ext walls; insulation on foundation walls TBD; uninsulated floors; existing gas boiler to remain; SDHV</v>
          </cell>
          <cell r="N76" t="str">
            <v>Awaiting 2nd application</v>
          </cell>
          <cell r="O76" t="str">
            <v>1st application reviewed 2012-01-16</v>
          </cell>
          <cell r="S76" t="str">
            <v>inactive</v>
          </cell>
          <cell r="V76">
            <v>65</v>
          </cell>
        </row>
        <row r="77">
          <cell r="G77" t="str">
            <v/>
          </cell>
          <cell r="V77">
            <v>66</v>
          </cell>
        </row>
        <row r="78">
          <cell r="B78" t="str">
            <v>Outside of National Grid DER Pilot - NStar Customers</v>
          </cell>
          <cell r="V78">
            <v>67</v>
          </cell>
        </row>
        <row r="79">
          <cell r="B79" t="str">
            <v>25 Ellington / Liane C</v>
          </cell>
          <cell r="C79" t="str">
            <v>Rapid Retrofit</v>
          </cell>
          <cell r="E79" t="str">
            <v>Catanzaro</v>
          </cell>
          <cell r="F79" t="str">
            <v>C</v>
          </cell>
          <cell r="G79" t="str">
            <v>Synergy</v>
          </cell>
          <cell r="H79" t="str">
            <v>Somerville</v>
          </cell>
          <cell r="I79">
            <v>4160</v>
          </cell>
          <cell r="J79" t="str">
            <v>3 family</v>
          </cell>
          <cell r="K79">
            <v>3</v>
          </cell>
          <cell r="L79">
            <v>1910</v>
          </cell>
          <cell r="M79" t="str">
            <v>exterior insulating sheathing</v>
          </cell>
          <cell r="N79" t="str">
            <v>In construction</v>
          </cell>
          <cell r="O79" t="str">
            <v>exterior sheathing and windows in process</v>
          </cell>
          <cell r="Q79">
            <v>40330</v>
          </cell>
          <cell r="R79">
            <v>40391</v>
          </cell>
          <cell r="S79" t="str">
            <v>RO</v>
          </cell>
          <cell r="V79">
            <v>68</v>
          </cell>
        </row>
        <row r="80">
          <cell r="G80" t="str">
            <v/>
          </cell>
          <cell r="V80">
            <v>69</v>
          </cell>
        </row>
        <row r="81">
          <cell r="B81" t="str">
            <v>Other Building America Retrofit Projects</v>
          </cell>
          <cell r="V81">
            <v>70</v>
          </cell>
        </row>
        <row r="82">
          <cell r="B82" t="str">
            <v>Freeport Retrofit</v>
          </cell>
          <cell r="C82" t="str">
            <v>Energy Circle, Mallet DER</v>
          </cell>
          <cell r="E82" t="str">
            <v>Building Science Corporation</v>
          </cell>
          <cell r="F82" t="str">
            <v>A</v>
          </cell>
          <cell r="G82" t="str">
            <v>Warren Construction Group</v>
          </cell>
          <cell r="H82" t="str">
            <v>Freeport, ME</v>
          </cell>
          <cell r="I82">
            <v>1600</v>
          </cell>
          <cell r="K82">
            <v>2</v>
          </cell>
          <cell r="L82">
            <v>1875</v>
          </cell>
          <cell r="M82" t="str">
            <v xml:space="preserve">Retrofit of historic workers cottage </v>
          </cell>
          <cell r="N82" t="str">
            <v xml:space="preserve">awaitng confirmation of funding </v>
          </cell>
          <cell r="O82" t="str">
            <v>it is uncertain whether project will proceed along the line of BSC recommendations or with BSC as Architect</v>
          </cell>
          <cell r="Q82">
            <v>40422</v>
          </cell>
          <cell r="R82">
            <v>40695</v>
          </cell>
          <cell r="S82" t="str">
            <v>KB</v>
          </cell>
          <cell r="T82" t="str">
            <v>phased construction.  Enclosure first.  Mechanicals and interior fit out in later phases pending funding.</v>
          </cell>
          <cell r="V82">
            <v>71</v>
          </cell>
        </row>
        <row r="83">
          <cell r="G83" t="str">
            <v/>
          </cell>
        </row>
        <row r="84">
          <cell r="G84" t="str">
            <v/>
          </cell>
        </row>
      </sheetData>
      <sheetData sheetId="1">
        <row r="8">
          <cell r="B8" t="str">
            <v>Clark</v>
          </cell>
          <cell r="C8">
            <v>1</v>
          </cell>
          <cell r="D8" t="str">
            <v>Belchertown</v>
          </cell>
          <cell r="E8">
            <v>1352</v>
          </cell>
          <cell r="F8" t="str">
            <v>Cape</v>
          </cell>
          <cell r="G8">
            <v>1.5</v>
          </cell>
          <cell r="H8">
            <v>1760</v>
          </cell>
          <cell r="I8" t="str">
            <v>Complete</v>
          </cell>
          <cell r="J8" t="str">
            <v>Y</v>
          </cell>
          <cell r="K8" t="str">
            <v>W.A.G.</v>
          </cell>
          <cell r="L8" t="str">
            <v>Excluded</v>
          </cell>
          <cell r="M8" t="str">
            <v>Included</v>
          </cell>
          <cell r="N8">
            <v>1435</v>
          </cell>
          <cell r="O8">
            <v>1907</v>
          </cell>
          <cell r="P8">
            <v>3726</v>
          </cell>
          <cell r="Q8">
            <v>4066</v>
          </cell>
          <cell r="R8">
            <v>9448</v>
          </cell>
          <cell r="S8">
            <v>14972</v>
          </cell>
          <cell r="T8">
            <v>9079</v>
          </cell>
          <cell r="U8">
            <v>468</v>
          </cell>
          <cell r="V8">
            <v>57.656646909398809</v>
          </cell>
          <cell r="W8">
            <v>1.8755009350788139</v>
          </cell>
          <cell r="X8">
            <v>2.4366612989801397</v>
          </cell>
          <cell r="Y8">
            <v>0.11510083620265617</v>
          </cell>
          <cell r="Z8">
            <v>6.3268292682926832</v>
          </cell>
          <cell r="AA8">
            <v>0.2454116413214473</v>
          </cell>
        </row>
        <row r="9">
          <cell r="B9" t="str">
            <v>Brownsberger</v>
          </cell>
          <cell r="C9">
            <v>2</v>
          </cell>
          <cell r="D9" t="str">
            <v>Belmont</v>
          </cell>
          <cell r="E9">
            <v>2728</v>
          </cell>
          <cell r="F9" t="str">
            <v>2 family</v>
          </cell>
          <cell r="G9">
            <v>3</v>
          </cell>
          <cell r="H9">
            <v>1925</v>
          </cell>
          <cell r="I9" t="str">
            <v>Complete</v>
          </cell>
          <cell r="J9" t="str">
            <v>Y</v>
          </cell>
          <cell r="L9" t="str">
            <v>Excluded</v>
          </cell>
          <cell r="M9" t="str">
            <v>Included</v>
          </cell>
          <cell r="N9">
            <v>3417</v>
          </cell>
          <cell r="O9">
            <v>4768</v>
          </cell>
          <cell r="P9">
            <v>7468</v>
          </cell>
          <cell r="Q9">
            <v>9093</v>
          </cell>
          <cell r="R9">
            <v>36898</v>
          </cell>
          <cell r="S9">
            <v>47706</v>
          </cell>
          <cell r="T9">
            <v>5700</v>
          </cell>
          <cell r="U9">
            <v>590</v>
          </cell>
          <cell r="V9">
            <v>9.2687950566426363</v>
          </cell>
          <cell r="W9">
            <v>0.74204502578292031</v>
          </cell>
          <cell r="X9">
            <v>0.76325656132833419</v>
          </cell>
          <cell r="Y9">
            <v>6.4885076432420544E-2</v>
          </cell>
          <cell r="Z9">
            <v>1.6681299385425812</v>
          </cell>
          <cell r="AA9">
            <v>0.12374161073825503</v>
          </cell>
        </row>
        <row r="10">
          <cell r="B10" t="str">
            <v>Tweedly</v>
          </cell>
          <cell r="C10">
            <v>1</v>
          </cell>
          <cell r="D10" t="str">
            <v>Millbury</v>
          </cell>
          <cell r="E10">
            <v>1100</v>
          </cell>
          <cell r="F10" t="str">
            <v>Cape</v>
          </cell>
          <cell r="G10">
            <v>1.5</v>
          </cell>
          <cell r="H10">
            <v>1953</v>
          </cell>
          <cell r="I10" t="str">
            <v>Complete</v>
          </cell>
          <cell r="J10" t="str">
            <v>?</v>
          </cell>
          <cell r="L10" t="str">
            <v>Included</v>
          </cell>
          <cell r="M10" t="str">
            <v>Included</v>
          </cell>
          <cell r="N10">
            <v>1868</v>
          </cell>
          <cell r="O10">
            <v>1868</v>
          </cell>
          <cell r="P10">
            <v>4278</v>
          </cell>
          <cell r="Q10">
            <v>4278</v>
          </cell>
          <cell r="R10">
            <v>17000</v>
          </cell>
          <cell r="S10">
            <v>17000</v>
          </cell>
          <cell r="T10">
            <v>2860</v>
          </cell>
          <cell r="U10">
            <v>402</v>
          </cell>
          <cell r="V10">
            <v>10.4</v>
          </cell>
          <cell r="W10">
            <v>1.4188235294117648</v>
          </cell>
          <cell r="X10">
            <v>0.66853669939223936</v>
          </cell>
          <cell r="Y10">
            <v>9.3969144460028048E-2</v>
          </cell>
          <cell r="Z10">
            <v>1.5310492505353319</v>
          </cell>
          <cell r="AA10">
            <v>0.21520342612419699</v>
          </cell>
        </row>
        <row r="11">
          <cell r="B11" t="str">
            <v>Koh</v>
          </cell>
          <cell r="C11">
            <v>1</v>
          </cell>
          <cell r="D11" t="str">
            <v>Milton</v>
          </cell>
          <cell r="E11">
            <v>1600</v>
          </cell>
          <cell r="F11" t="str">
            <v>Garrison Colonial</v>
          </cell>
          <cell r="G11">
            <v>2</v>
          </cell>
          <cell r="H11">
            <v>1960</v>
          </cell>
          <cell r="I11" t="str">
            <v>Complete</v>
          </cell>
          <cell r="J11" t="str">
            <v>Y</v>
          </cell>
          <cell r="K11" t="str">
            <v>take-off from drawings</v>
          </cell>
          <cell r="L11" t="str">
            <v>Included</v>
          </cell>
          <cell r="M11" t="str">
            <v>Included</v>
          </cell>
          <cell r="N11">
            <v>2368</v>
          </cell>
          <cell r="O11">
            <v>2368</v>
          </cell>
          <cell r="P11">
            <v>3408</v>
          </cell>
          <cell r="Q11">
            <v>3740</v>
          </cell>
          <cell r="R11">
            <v>22457.599999999999</v>
          </cell>
          <cell r="S11">
            <v>24457.599999999999</v>
          </cell>
          <cell r="T11">
            <v>1695</v>
          </cell>
          <cell r="U11">
            <v>584</v>
          </cell>
          <cell r="V11">
            <v>4.5285337703049304</v>
          </cell>
          <cell r="W11">
            <v>1.4326835012429675</v>
          </cell>
          <cell r="X11">
            <v>0.49735915492957744</v>
          </cell>
          <cell r="Y11">
            <v>0.15614973262032086</v>
          </cell>
          <cell r="Z11">
            <v>0.71579391891891897</v>
          </cell>
          <cell r="AA11">
            <v>0.24662162162162163</v>
          </cell>
        </row>
        <row r="12">
          <cell r="B12" t="str">
            <v>Hall</v>
          </cell>
          <cell r="C12">
            <v>1</v>
          </cell>
          <cell r="D12" t="str">
            <v>Quincy</v>
          </cell>
          <cell r="E12">
            <v>1808</v>
          </cell>
          <cell r="F12" t="str">
            <v>bungalow</v>
          </cell>
          <cell r="G12">
            <v>1.5</v>
          </cell>
          <cell r="H12">
            <v>1905</v>
          </cell>
          <cell r="I12" t="str">
            <v>Complete</v>
          </cell>
          <cell r="J12" t="str">
            <v>Y</v>
          </cell>
          <cell r="K12" t="str">
            <v>take-off from model</v>
          </cell>
          <cell r="L12" t="str">
            <v>Included</v>
          </cell>
          <cell r="M12" t="str">
            <v>Included</v>
          </cell>
          <cell r="N12">
            <v>3484</v>
          </cell>
          <cell r="O12">
            <v>4576</v>
          </cell>
          <cell r="P12">
            <v>5340</v>
          </cell>
          <cell r="Q12">
            <v>6806</v>
          </cell>
          <cell r="R12">
            <v>16350</v>
          </cell>
          <cell r="S12">
            <v>36346</v>
          </cell>
          <cell r="T12">
            <v>5050</v>
          </cell>
          <cell r="U12">
            <v>762</v>
          </cell>
          <cell r="V12">
            <v>18.53</v>
          </cell>
          <cell r="W12">
            <v>1.2579100863919002</v>
          </cell>
          <cell r="X12">
            <v>0.94569288389513106</v>
          </cell>
          <cell r="Y12">
            <v>0.11196003526300323</v>
          </cell>
          <cell r="Z12">
            <v>1.4494833524684272</v>
          </cell>
          <cell r="AA12">
            <v>0.16652097902097901</v>
          </cell>
        </row>
        <row r="13">
          <cell r="B13" t="str">
            <v>Venable-Hwang</v>
          </cell>
          <cell r="C13">
            <v>2</v>
          </cell>
          <cell r="D13" t="str">
            <v>Arlington</v>
          </cell>
          <cell r="E13">
            <v>2112</v>
          </cell>
          <cell r="F13" t="str">
            <v>2 family</v>
          </cell>
          <cell r="G13">
            <v>2</v>
          </cell>
          <cell r="H13">
            <v>1910</v>
          </cell>
          <cell r="I13" t="str">
            <v>Complete</v>
          </cell>
          <cell r="K13" t="str">
            <v>take-off from drawings</v>
          </cell>
          <cell r="L13" t="str">
            <v>Excluded</v>
          </cell>
          <cell r="M13" t="str">
            <v>Excluded</v>
          </cell>
          <cell r="N13">
            <v>2502</v>
          </cell>
          <cell r="O13">
            <v>3627</v>
          </cell>
          <cell r="P13">
            <v>5153</v>
          </cell>
          <cell r="Q13">
            <v>5925</v>
          </cell>
          <cell r="R13">
            <v>20157</v>
          </cell>
          <cell r="S13">
            <v>29648</v>
          </cell>
          <cell r="T13">
            <v>8730</v>
          </cell>
          <cell r="U13">
            <v>3586</v>
          </cell>
          <cell r="V13">
            <v>25.986009822890313</v>
          </cell>
          <cell r="W13">
            <v>7.2571505666486775</v>
          </cell>
          <cell r="X13">
            <v>1.6941587424801088</v>
          </cell>
          <cell r="Y13">
            <v>0.60523206751054848</v>
          </cell>
          <cell r="Z13">
            <v>3.4892086330935252</v>
          </cell>
          <cell r="AA13">
            <v>0.98869589192169838</v>
          </cell>
        </row>
        <row r="14">
          <cell r="B14" t="str">
            <v>Lavine</v>
          </cell>
          <cell r="C14">
            <v>1</v>
          </cell>
          <cell r="D14" t="str">
            <v>Newton</v>
          </cell>
          <cell r="E14">
            <v>1724</v>
          </cell>
          <cell r="F14" t="str">
            <v>Colonial</v>
          </cell>
          <cell r="G14">
            <v>1</v>
          </cell>
          <cell r="H14">
            <v>1930</v>
          </cell>
          <cell r="I14" t="str">
            <v>Complete</v>
          </cell>
          <cell r="J14" t="str">
            <v>Y</v>
          </cell>
          <cell r="N14">
            <v>1815</v>
          </cell>
          <cell r="O14">
            <v>2199</v>
          </cell>
          <cell r="P14">
            <v>3729</v>
          </cell>
          <cell r="Q14">
            <v>4337</v>
          </cell>
          <cell r="R14">
            <v>18831</v>
          </cell>
          <cell r="S14">
            <v>21904</v>
          </cell>
          <cell r="T14">
            <v>3199</v>
          </cell>
          <cell r="U14">
            <v>1299</v>
          </cell>
          <cell r="V14">
            <v>10.192767245499441</v>
          </cell>
          <cell r="W14">
            <v>3.558254200146092</v>
          </cell>
          <cell r="X14">
            <v>0.857870742826495</v>
          </cell>
          <cell r="Y14">
            <v>0.29951579432787639</v>
          </cell>
          <cell r="Z14">
            <v>1.7625344352617081</v>
          </cell>
          <cell r="AA14">
            <v>0.59072305593451568</v>
          </cell>
        </row>
        <row r="15">
          <cell r="B15" t="str">
            <v>Buhs</v>
          </cell>
          <cell r="C15">
            <v>3</v>
          </cell>
          <cell r="D15" t="str">
            <v>Jamaica Plain</v>
          </cell>
          <cell r="E15">
            <v>3885</v>
          </cell>
          <cell r="F15" t="str">
            <v>3-family</v>
          </cell>
          <cell r="G15">
            <v>3</v>
          </cell>
          <cell r="H15">
            <v>1907</v>
          </cell>
          <cell r="I15" t="str">
            <v>Complete</v>
          </cell>
          <cell r="N15">
            <v>3885</v>
          </cell>
          <cell r="O15">
            <v>3885</v>
          </cell>
          <cell r="P15">
            <v>6308</v>
          </cell>
          <cell r="Q15">
            <v>7456</v>
          </cell>
          <cell r="R15">
            <v>42586</v>
          </cell>
          <cell r="S15">
            <v>42586</v>
          </cell>
          <cell r="T15">
            <v>7729</v>
          </cell>
          <cell r="U15">
            <v>1802</v>
          </cell>
          <cell r="V15">
            <v>10.889494199971821</v>
          </cell>
          <cell r="W15">
            <v>2.5388625369839852</v>
          </cell>
          <cell r="X15">
            <v>1.2252694990488269</v>
          </cell>
          <cell r="Y15">
            <v>0.24168454935622319</v>
          </cell>
          <cell r="Z15">
            <v>1.9894465894465894</v>
          </cell>
          <cell r="AA15">
            <v>0.46383526383526386</v>
          </cell>
        </row>
        <row r="16">
          <cell r="B16" t="str">
            <v>Wick</v>
          </cell>
          <cell r="C16">
            <v>1</v>
          </cell>
          <cell r="D16" t="str">
            <v>Northampton</v>
          </cell>
          <cell r="E16">
            <v>2032</v>
          </cell>
          <cell r="F16" t="str">
            <v>Victorian</v>
          </cell>
          <cell r="G16">
            <v>1</v>
          </cell>
          <cell r="H16">
            <v>1859</v>
          </cell>
          <cell r="I16" t="str">
            <v>Complete</v>
          </cell>
          <cell r="M16" t="str">
            <v>Included</v>
          </cell>
          <cell r="N16">
            <v>2032</v>
          </cell>
          <cell r="O16">
            <v>2747</v>
          </cell>
          <cell r="P16">
            <v>6711</v>
          </cell>
          <cell r="Q16">
            <v>7798</v>
          </cell>
          <cell r="S16">
            <v>34624</v>
          </cell>
          <cell r="T16">
            <v>6155</v>
          </cell>
          <cell r="U16">
            <v>473</v>
          </cell>
          <cell r="W16">
            <v>0.81966266173752311</v>
          </cell>
          <cell r="X16">
            <v>0.91715094620771864</v>
          </cell>
          <cell r="Y16">
            <v>6.0656578609899973E-2</v>
          </cell>
          <cell r="Z16">
            <v>3.0290354330708662</v>
          </cell>
          <cell r="AA16">
            <v>0.17218784128139789</v>
          </cell>
        </row>
        <row r="17">
          <cell r="B17" t="str">
            <v>Habitat for Humanity of North Central Massachusetts</v>
          </cell>
          <cell r="C17">
            <v>1</v>
          </cell>
          <cell r="D17" t="str">
            <v>Lancaster</v>
          </cell>
          <cell r="E17">
            <v>908</v>
          </cell>
          <cell r="F17" t="str">
            <v>Cape to Colonial</v>
          </cell>
          <cell r="G17">
            <v>2</v>
          </cell>
          <cell r="H17">
            <v>1900</v>
          </cell>
          <cell r="I17" t="str">
            <v>Complete</v>
          </cell>
          <cell r="J17" t="str">
            <v>Y</v>
          </cell>
          <cell r="N17">
            <v>980</v>
          </cell>
          <cell r="O17">
            <v>1440</v>
          </cell>
          <cell r="P17">
            <v>2583</v>
          </cell>
          <cell r="Q17">
            <v>3222</v>
          </cell>
          <cell r="R17">
            <v>7080</v>
          </cell>
          <cell r="S17">
            <v>12336</v>
          </cell>
          <cell r="T17">
            <v>4254</v>
          </cell>
          <cell r="U17">
            <v>293</v>
          </cell>
          <cell r="V17">
            <v>36.050847457627121</v>
          </cell>
          <cell r="W17">
            <v>1.4250972762645915</v>
          </cell>
          <cell r="X17">
            <v>1.6469221835075494</v>
          </cell>
          <cell r="Y17">
            <v>9.0937306021104905E-2</v>
          </cell>
          <cell r="Z17">
            <v>4.3408163265306126</v>
          </cell>
          <cell r="AA17">
            <v>0.20347222222222222</v>
          </cell>
        </row>
        <row r="18">
          <cell r="B18" t="str">
            <v>Aquiline</v>
          </cell>
          <cell r="C18">
            <v>1</v>
          </cell>
          <cell r="D18" t="str">
            <v>Brookline</v>
          </cell>
          <cell r="E18">
            <v>2284</v>
          </cell>
          <cell r="F18" t="str">
            <v>Victorian</v>
          </cell>
          <cell r="G18">
            <v>3</v>
          </cell>
          <cell r="H18">
            <v>1899</v>
          </cell>
          <cell r="I18" t="str">
            <v>Complete</v>
          </cell>
          <cell r="N18">
            <v>3078</v>
          </cell>
          <cell r="O18">
            <v>3174</v>
          </cell>
          <cell r="P18">
            <v>5794</v>
          </cell>
          <cell r="Q18">
            <v>5924</v>
          </cell>
          <cell r="R18">
            <v>26187</v>
          </cell>
          <cell r="S18">
            <v>26187</v>
          </cell>
          <cell r="T18">
            <v>1640</v>
          </cell>
          <cell r="U18">
            <v>655</v>
          </cell>
          <cell r="V18">
            <v>3.7575896437163481</v>
          </cell>
          <cell r="W18">
            <v>1.5007446442891512</v>
          </cell>
          <cell r="X18">
            <v>0.28305143251639625</v>
          </cell>
          <cell r="Y18">
            <v>0.11056718433490885</v>
          </cell>
          <cell r="Z18">
            <v>0.53281351526965559</v>
          </cell>
          <cell r="AA18">
            <v>0.20636420919974796</v>
          </cell>
        </row>
        <row r="19">
          <cell r="B19" t="str">
            <v>Atkins</v>
          </cell>
          <cell r="C19">
            <v>1</v>
          </cell>
          <cell r="D19" t="str">
            <v>Westford</v>
          </cell>
          <cell r="E19">
            <v>2906</v>
          </cell>
          <cell r="F19" t="str">
            <v>Colonial</v>
          </cell>
          <cell r="G19">
            <v>2</v>
          </cell>
          <cell r="H19">
            <v>1993</v>
          </cell>
          <cell r="I19" t="str">
            <v>Complete</v>
          </cell>
          <cell r="K19" t="str">
            <v>application</v>
          </cell>
          <cell r="N19">
            <v>2906</v>
          </cell>
          <cell r="O19">
            <v>3955</v>
          </cell>
          <cell r="P19">
            <v>7325</v>
          </cell>
          <cell r="Q19">
            <v>9538</v>
          </cell>
          <cell r="R19">
            <v>32226</v>
          </cell>
          <cell r="S19">
            <v>44475</v>
          </cell>
          <cell r="T19">
            <v>2592</v>
          </cell>
          <cell r="U19">
            <v>930</v>
          </cell>
          <cell r="V19" t="e">
            <v>#DIV/0!</v>
          </cell>
          <cell r="W19">
            <v>1.2546374367622262</v>
          </cell>
          <cell r="X19">
            <v>0.35385665529010241</v>
          </cell>
          <cell r="Y19">
            <v>9.7504717970224364E-2</v>
          </cell>
          <cell r="Z19">
            <v>0.89194769442532695</v>
          </cell>
          <cell r="AA19">
            <v>0.23514538558786346</v>
          </cell>
        </row>
        <row r="20">
          <cell r="B20" t="str">
            <v>Riley</v>
          </cell>
          <cell r="C20">
            <v>1</v>
          </cell>
          <cell r="D20" t="str">
            <v>Jamaica Plain</v>
          </cell>
          <cell r="E20">
            <v>5663</v>
          </cell>
          <cell r="F20" t="str">
            <v>Victorian</v>
          </cell>
          <cell r="G20">
            <v>1</v>
          </cell>
          <cell r="H20">
            <v>1878</v>
          </cell>
          <cell r="I20" t="str">
            <v>Complete</v>
          </cell>
          <cell r="J20" t="str">
            <v>N</v>
          </cell>
          <cell r="M20" t="str">
            <v>Included</v>
          </cell>
          <cell r="N20">
            <v>5663</v>
          </cell>
          <cell r="O20">
            <v>5663</v>
          </cell>
          <cell r="P20">
            <v>7182</v>
          </cell>
          <cell r="Q20">
            <v>8152</v>
          </cell>
          <cell r="R20">
            <v>48737</v>
          </cell>
          <cell r="S20">
            <v>51481</v>
          </cell>
          <cell r="T20">
            <v>8000</v>
          </cell>
          <cell r="U20">
            <v>4539</v>
          </cell>
          <cell r="V20">
            <v>9.8487801875371908</v>
          </cell>
          <cell r="W20">
            <v>5.2901070297779764</v>
          </cell>
          <cell r="X20">
            <v>1.1138958507379559</v>
          </cell>
          <cell r="Y20">
            <v>0.55679587831207067</v>
          </cell>
          <cell r="Z20">
            <v>1.4126787921596327</v>
          </cell>
          <cell r="AA20">
            <v>0</v>
          </cell>
        </row>
        <row r="21">
          <cell r="B21" t="str">
            <v>Cunningham</v>
          </cell>
          <cell r="C21">
            <v>1</v>
          </cell>
          <cell r="D21" t="str">
            <v>Gloucester</v>
          </cell>
          <cell r="E21">
            <v>2171</v>
          </cell>
          <cell r="F21" t="str">
            <v>Single family</v>
          </cell>
          <cell r="G21">
            <v>2</v>
          </cell>
          <cell r="H21">
            <v>1920</v>
          </cell>
          <cell r="I21" t="str">
            <v>Complete</v>
          </cell>
          <cell r="K21" t="str">
            <v>application</v>
          </cell>
          <cell r="N21">
            <v>2171</v>
          </cell>
          <cell r="O21">
            <v>2424</v>
          </cell>
          <cell r="P21">
            <v>5325</v>
          </cell>
          <cell r="Q21">
            <v>6493</v>
          </cell>
          <cell r="S21">
            <v>23285</v>
          </cell>
          <cell r="T21">
            <v>2258</v>
          </cell>
          <cell r="U21">
            <v>235</v>
          </cell>
          <cell r="V21" t="e">
            <v>#DIV/0!</v>
          </cell>
          <cell r="W21">
            <v>0.60554004724071286</v>
          </cell>
          <cell r="X21">
            <v>0.42403755868544601</v>
          </cell>
          <cell r="Y21">
            <v>3.6192823040197136E-2</v>
          </cell>
          <cell r="Z21">
            <v>1.0400736987563335</v>
          </cell>
          <cell r="AA21">
            <v>9.6947194719471941E-2</v>
          </cell>
        </row>
        <row r="22">
          <cell r="B22" t="str">
            <v>Butler</v>
          </cell>
          <cell r="C22">
            <v>2</v>
          </cell>
          <cell r="D22" t="str">
            <v>Medford</v>
          </cell>
          <cell r="E22">
            <v>3200</v>
          </cell>
          <cell r="F22" t="str">
            <v>2 family gambrel</v>
          </cell>
          <cell r="G22">
            <v>3</v>
          </cell>
          <cell r="H22">
            <v>1916</v>
          </cell>
          <cell r="I22" t="str">
            <v>Complete</v>
          </cell>
          <cell r="J22" t="str">
            <v>N</v>
          </cell>
          <cell r="K22" t="str">
            <v>W.A.G.</v>
          </cell>
          <cell r="L22" t="str">
            <v>Excluded</v>
          </cell>
          <cell r="M22" t="str">
            <v>Excluded</v>
          </cell>
          <cell r="N22">
            <v>3200</v>
          </cell>
          <cell r="R22">
            <v>32218</v>
          </cell>
          <cell r="S22">
            <v>33368</v>
          </cell>
          <cell r="T22">
            <v>5296</v>
          </cell>
          <cell r="U22">
            <v>1922</v>
          </cell>
          <cell r="V22">
            <v>9.8628096095350433</v>
          </cell>
          <cell r="W22">
            <v>3.4560057540158233</v>
          </cell>
          <cell r="Z22">
            <v>0</v>
          </cell>
          <cell r="AA22" t="e">
            <v>#DIV/0!</v>
          </cell>
        </row>
        <row r="23">
          <cell r="B23" t="str">
            <v>Biddle</v>
          </cell>
          <cell r="C23">
            <v>1</v>
          </cell>
          <cell r="D23" t="str">
            <v>Northampton</v>
          </cell>
          <cell r="E23">
            <v>1126</v>
          </cell>
          <cell r="F23" t="str">
            <v>Ranch</v>
          </cell>
          <cell r="G23">
            <v>1</v>
          </cell>
          <cell r="H23">
            <v>1972</v>
          </cell>
          <cell r="I23" t="str">
            <v>Complete</v>
          </cell>
          <cell r="M23" t="str">
            <v>Included</v>
          </cell>
          <cell r="N23">
            <v>1126</v>
          </cell>
          <cell r="O23">
            <v>2209</v>
          </cell>
          <cell r="P23">
            <v>4558</v>
          </cell>
          <cell r="Q23">
            <v>6198</v>
          </cell>
          <cell r="R23">
            <v>19497</v>
          </cell>
          <cell r="S23">
            <v>29819</v>
          </cell>
          <cell r="T23">
            <v>1315</v>
          </cell>
          <cell r="U23">
            <v>556</v>
          </cell>
          <cell r="V23">
            <v>4.0467764271426372</v>
          </cell>
          <cell r="W23">
            <v>1.1187497904020927</v>
          </cell>
          <cell r="Y23">
            <v>8.9706356889319133E-2</v>
          </cell>
          <cell r="AA23">
            <v>0.25169760072430963</v>
          </cell>
        </row>
        <row r="24">
          <cell r="B24" t="str">
            <v>Veterans Northeast Outreach Center</v>
          </cell>
          <cell r="C24">
            <v>2</v>
          </cell>
          <cell r="D24" t="str">
            <v>Haverhill</v>
          </cell>
          <cell r="E24">
            <v>1542</v>
          </cell>
          <cell r="F24" t="str">
            <v>Colonial</v>
          </cell>
          <cell r="G24">
            <v>2</v>
          </cell>
          <cell r="H24">
            <v>1900</v>
          </cell>
          <cell r="I24" t="str">
            <v>Complete</v>
          </cell>
          <cell r="L24" t="str">
            <v>Included</v>
          </cell>
          <cell r="M24" t="str">
            <v>Included</v>
          </cell>
          <cell r="N24">
            <v>1542</v>
          </cell>
          <cell r="O24">
            <v>1542</v>
          </cell>
          <cell r="P24">
            <v>5272</v>
          </cell>
          <cell r="Q24">
            <v>5272</v>
          </cell>
          <cell r="R24">
            <v>23233</v>
          </cell>
          <cell r="S24">
            <v>25589</v>
          </cell>
          <cell r="T24">
            <v>6970</v>
          </cell>
          <cell r="U24">
            <v>1085</v>
          </cell>
          <cell r="V24" t="e">
            <v>#DIV/0!</v>
          </cell>
          <cell r="W24" t="e">
            <v>#DIV/0!</v>
          </cell>
          <cell r="X24">
            <v>1.3220789074355084</v>
          </cell>
          <cell r="Y24">
            <v>0.20580424886191198</v>
          </cell>
          <cell r="Z24">
            <v>4.5201037613488975</v>
          </cell>
          <cell r="AA24">
            <v>0.7036316472114138</v>
          </cell>
        </row>
        <row r="25">
          <cell r="B25" t="str">
            <v>Bean</v>
          </cell>
          <cell r="C25">
            <v>3</v>
          </cell>
          <cell r="D25" t="str">
            <v>Dorchester</v>
          </cell>
          <cell r="E25">
            <v>4200</v>
          </cell>
          <cell r="F25">
            <v>0</v>
          </cell>
          <cell r="G25">
            <v>3</v>
          </cell>
          <cell r="H25">
            <v>0</v>
          </cell>
          <cell r="I25" t="str">
            <v>Complete</v>
          </cell>
          <cell r="J25" t="str">
            <v>N</v>
          </cell>
          <cell r="L25" t="str">
            <v>Excluded</v>
          </cell>
          <cell r="M25" t="str">
            <v>Excluded</v>
          </cell>
          <cell r="N25">
            <v>4200</v>
          </cell>
          <cell r="O25">
            <v>4200</v>
          </cell>
          <cell r="P25">
            <v>9100</v>
          </cell>
          <cell r="Q25">
            <v>9100</v>
          </cell>
          <cell r="R25">
            <v>41540</v>
          </cell>
          <cell r="S25">
            <v>42964</v>
          </cell>
          <cell r="T25">
            <v>13779</v>
          </cell>
          <cell r="U25">
            <v>5084</v>
          </cell>
          <cell r="V25">
            <v>19.902262879152623</v>
          </cell>
          <cell r="W25">
            <v>7.0998975886788944</v>
          </cell>
          <cell r="Y25">
            <v>0.55868131868131865</v>
          </cell>
          <cell r="Z25">
            <v>3.2807142857142857</v>
          </cell>
          <cell r="AA25">
            <v>0</v>
          </cell>
        </row>
        <row r="26">
          <cell r="B26" t="str">
            <v>Mampre</v>
          </cell>
          <cell r="C26">
            <v>1</v>
          </cell>
          <cell r="D26" t="str">
            <v>Rutland</v>
          </cell>
          <cell r="E26">
            <v>1415</v>
          </cell>
          <cell r="F26" t="str">
            <v>Cape</v>
          </cell>
          <cell r="G26">
            <v>1</v>
          </cell>
          <cell r="H26">
            <v>1977</v>
          </cell>
          <cell r="I26" t="str">
            <v>Complete</v>
          </cell>
          <cell r="J26" t="str">
            <v>Y</v>
          </cell>
          <cell r="K26" t="str">
            <v>field take-off</v>
          </cell>
          <cell r="L26" t="str">
            <v>Excluded</v>
          </cell>
          <cell r="M26" t="str">
            <v>Included</v>
          </cell>
          <cell r="N26">
            <v>1415</v>
          </cell>
          <cell r="O26">
            <v>2720</v>
          </cell>
          <cell r="P26">
            <v>3894</v>
          </cell>
          <cell r="Q26">
            <v>4968</v>
          </cell>
          <cell r="R26">
            <v>15163</v>
          </cell>
          <cell r="S26">
            <v>23482</v>
          </cell>
          <cell r="T26">
            <v>1658</v>
          </cell>
          <cell r="U26">
            <v>493</v>
          </cell>
          <cell r="V26">
            <v>6.560706984106047</v>
          </cell>
          <cell r="W26">
            <v>1.2596882718678137</v>
          </cell>
          <cell r="X26">
            <v>0.42578325629173086</v>
          </cell>
          <cell r="Y26">
            <v>9.9235104669887275E-2</v>
          </cell>
          <cell r="Z26">
            <v>1.1717314487632509</v>
          </cell>
          <cell r="AA26">
            <v>0.18124999999999999</v>
          </cell>
        </row>
        <row r="27">
          <cell r="B27" t="str">
            <v>Sorkin</v>
          </cell>
          <cell r="C27">
            <v>1</v>
          </cell>
          <cell r="D27" t="str">
            <v>Florence</v>
          </cell>
          <cell r="E27">
            <v>2690</v>
          </cell>
          <cell r="F27" t="str">
            <v>Victorian</v>
          </cell>
          <cell r="G27">
            <v>2</v>
          </cell>
          <cell r="H27">
            <v>1880</v>
          </cell>
          <cell r="I27" t="str">
            <v>Complete</v>
          </cell>
          <cell r="J27" t="str">
            <v>N</v>
          </cell>
          <cell r="K27" t="str">
            <v>application</v>
          </cell>
          <cell r="L27" t="str">
            <v>Included</v>
          </cell>
          <cell r="M27" t="str">
            <v>Included</v>
          </cell>
          <cell r="N27">
            <v>2690</v>
          </cell>
          <cell r="O27">
            <v>3976</v>
          </cell>
          <cell r="P27">
            <v>7258</v>
          </cell>
          <cell r="Q27">
            <v>7308</v>
          </cell>
          <cell r="R27">
            <v>38340</v>
          </cell>
          <cell r="S27">
            <v>37500</v>
          </cell>
          <cell r="T27">
            <v>4094</v>
          </cell>
          <cell r="U27">
            <v>1902</v>
          </cell>
          <cell r="V27">
            <v>6.4068857589984347</v>
          </cell>
          <cell r="W27">
            <v>3.0432000000000001</v>
          </cell>
          <cell r="X27">
            <v>0.56406723615321031</v>
          </cell>
          <cell r="Y27">
            <v>0.26026272577996717</v>
          </cell>
          <cell r="Z27">
            <v>1.5219330855018587</v>
          </cell>
          <cell r="AA27">
            <v>0.4783702213279678</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vmlDrawing" Target="../drawings/vmlDrawing1.vml"/><Relationship Id="rId2"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2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6:AS26"/>
  <sheetViews>
    <sheetView topLeftCell="B11" workbookViewId="0">
      <pane xSplit="1" topLeftCell="C1" activePane="topRight" state="frozen"/>
      <selection activeCell="B7" sqref="B7"/>
      <selection pane="topRight" activeCell="R20" sqref="R20"/>
    </sheetView>
  </sheetViews>
  <sheetFormatPr baseColWidth="10" defaultColWidth="8.83203125" defaultRowHeight="14" x14ac:dyDescent="0"/>
  <cols>
    <col min="2" max="2" width="11.6640625" customWidth="1"/>
    <col min="3" max="3" width="8.6640625" customWidth="1"/>
    <col min="4" max="4" width="12.6640625" customWidth="1"/>
    <col min="6" max="6" width="11.5" customWidth="1"/>
    <col min="9" max="9" width="12.5" customWidth="1"/>
    <col min="11" max="11" width="12.5" customWidth="1"/>
  </cols>
  <sheetData>
    <row r="6" spans="1:45" ht="15" thickBot="1"/>
    <row r="7" spans="1:45" ht="106" thickBot="1">
      <c r="B7" s="1" t="s">
        <v>0</v>
      </c>
      <c r="C7" s="1" t="s">
        <v>1</v>
      </c>
      <c r="D7" s="1" t="s">
        <v>2</v>
      </c>
      <c r="E7" s="1" t="s">
        <v>3</v>
      </c>
      <c r="F7" s="1" t="s">
        <v>4</v>
      </c>
      <c r="G7" s="1" t="s">
        <v>5</v>
      </c>
      <c r="H7" s="1" t="s">
        <v>6</v>
      </c>
      <c r="I7" s="1" t="s">
        <v>7</v>
      </c>
      <c r="J7" s="2" t="s">
        <v>8</v>
      </c>
      <c r="K7" s="2" t="s">
        <v>9</v>
      </c>
      <c r="L7" s="2" t="s">
        <v>56</v>
      </c>
      <c r="M7" s="2" t="s">
        <v>57</v>
      </c>
      <c r="N7" s="3" t="s">
        <v>3</v>
      </c>
      <c r="O7" s="4" t="s">
        <v>10</v>
      </c>
      <c r="P7" s="5" t="s">
        <v>11</v>
      </c>
      <c r="Q7" s="6" t="s">
        <v>12</v>
      </c>
      <c r="R7" s="5" t="s">
        <v>13</v>
      </c>
      <c r="S7" s="6" t="s">
        <v>14</v>
      </c>
      <c r="T7" s="7" t="s">
        <v>15</v>
      </c>
      <c r="U7" s="7" t="s">
        <v>16</v>
      </c>
      <c r="V7" s="5" t="s">
        <v>17</v>
      </c>
      <c r="W7" s="6" t="s">
        <v>18</v>
      </c>
      <c r="X7" s="7" t="s">
        <v>19</v>
      </c>
      <c r="Y7" s="6" t="s">
        <v>20</v>
      </c>
      <c r="Z7" s="7" t="s">
        <v>21</v>
      </c>
      <c r="AA7" s="6" t="s">
        <v>22</v>
      </c>
      <c r="AB7" s="8" t="s">
        <v>41</v>
      </c>
      <c r="AC7" s="8" t="s">
        <v>49</v>
      </c>
      <c r="AD7" s="8" t="s">
        <v>48</v>
      </c>
      <c r="AE7" s="8" t="s">
        <v>69</v>
      </c>
      <c r="AF7" s="8" t="s">
        <v>44</v>
      </c>
      <c r="AG7" s="8" t="s">
        <v>43</v>
      </c>
      <c r="AH7" s="8" t="s">
        <v>65</v>
      </c>
      <c r="AI7" s="8" t="s">
        <v>60</v>
      </c>
      <c r="AJ7" s="8" t="s">
        <v>59</v>
      </c>
      <c r="AK7" s="8" t="s">
        <v>45</v>
      </c>
      <c r="AL7" s="8" t="s">
        <v>53</v>
      </c>
      <c r="AM7" s="8" t="s">
        <v>54</v>
      </c>
      <c r="AN7" s="8" t="s">
        <v>52</v>
      </c>
      <c r="AO7" s="8" t="s">
        <v>55</v>
      </c>
      <c r="AP7" s="8"/>
      <c r="AQ7" s="8"/>
      <c r="AR7" s="8"/>
      <c r="AS7" s="8" t="s">
        <v>42</v>
      </c>
    </row>
    <row r="9" spans="1:45">
      <c r="A9" s="17" t="s">
        <v>24</v>
      </c>
      <c r="B9" s="18" t="s">
        <v>25</v>
      </c>
      <c r="C9" s="19">
        <f>VLOOKUP($B9,'[1]Project Management'!$B$12:$S61,3,FALSE)</f>
        <v>1</v>
      </c>
      <c r="D9" s="19" t="str">
        <f>VLOOKUP($B9,'[1]Project Management'!$B$12:$S61,7,FALSE)</f>
        <v>Belchertown</v>
      </c>
      <c r="E9" s="19">
        <f>VLOOKUP($B9,'[1]Project Management'!$B$12:$S61,8,FALSE)</f>
        <v>1352</v>
      </c>
      <c r="F9" s="18" t="str">
        <f>VLOOKUP($B9,'[1]Project Management'!$B$12:$S61,9,FALSE)</f>
        <v>Cape</v>
      </c>
      <c r="G9" s="18">
        <f>VLOOKUP($B9,'[1]Project Management'!$B$12:$S61,10,FALSE)</f>
        <v>1.5</v>
      </c>
      <c r="H9" s="18">
        <f>VLOOKUP($B9,'[1]Project Management'!$B$12:$S61,11,FALSE)</f>
        <v>1760</v>
      </c>
      <c r="I9" s="18" t="str">
        <f>VLOOKUP($B9,'[1]Project Management'!$B$12:$S61,13,FALSE)</f>
        <v>Complete</v>
      </c>
      <c r="J9" s="20" t="str">
        <f>VLOOKUP($B9,'[1]Project Statistics'!$B$8:$AA$27,9,FALSE)</f>
        <v>Y</v>
      </c>
      <c r="K9" s="20" t="str">
        <f>VLOOKUP($B9,'[1]Project Statistics'!$B$8:$AA$27,10,FALSE)</f>
        <v>W.A.G.</v>
      </c>
      <c r="L9" s="20" t="str">
        <f>VLOOKUP($B9,'[1]Project Statistics'!$B$8:$AA$27,11,FALSE)</f>
        <v>Excluded</v>
      </c>
      <c r="M9" s="20" t="str">
        <f>VLOOKUP($B9,'[1]Project Statistics'!$B$8:$AA$27,12,FALSE)</f>
        <v>Included</v>
      </c>
      <c r="N9" s="20">
        <f>VLOOKUP($B9,'[1]Project Statistics'!$B$8:$AA$27,13,FALSE)</f>
        <v>1435</v>
      </c>
      <c r="O9" s="20">
        <f>VLOOKUP($B9,'[1]Project Statistics'!$B$8:$AA$27,14,FALSE)</f>
        <v>1907</v>
      </c>
      <c r="P9" s="20">
        <f>VLOOKUP($B9,'[1]Project Statistics'!$B$8:$AA$27,15,FALSE)</f>
        <v>3726</v>
      </c>
      <c r="Q9" s="20">
        <f>VLOOKUP($B9,'[1]Project Statistics'!$B$8:$AA$27,16,FALSE)</f>
        <v>4066</v>
      </c>
      <c r="R9" s="20">
        <f>VLOOKUP($B9,'[1]Project Statistics'!$B$8:$AA$27,17,FALSE)</f>
        <v>9448</v>
      </c>
      <c r="S9" s="20">
        <f>VLOOKUP($B9,'[1]Project Statistics'!$B$8:$AA$27,18,FALSE)</f>
        <v>14972</v>
      </c>
      <c r="T9" s="20">
        <f>VLOOKUP($B9,'[1]Project Statistics'!$B$8:$AA$27,19,FALSE)</f>
        <v>9079</v>
      </c>
      <c r="U9" s="20">
        <f>VLOOKUP($B9,'[1]Project Statistics'!$B$8:$AA$27,20,FALSE)</f>
        <v>468</v>
      </c>
      <c r="V9" s="44">
        <f>T9*60*(1/R9)</f>
        <v>57.656646909398809</v>
      </c>
      <c r="W9" s="37">
        <f>U9*60*(1/S9)</f>
        <v>1.8755009350788139</v>
      </c>
      <c r="X9" s="21">
        <f t="shared" ref="X9:X21" si="0">T9/P9</f>
        <v>2.4366612989801397</v>
      </c>
      <c r="Y9" s="22">
        <f t="shared" ref="Y9:Y21" si="1">U9/Q9</f>
        <v>0.11510083620265617</v>
      </c>
      <c r="Z9" s="21">
        <f t="shared" ref="Z9:Z21" si="2">T9/N9</f>
        <v>6.3268292682926832</v>
      </c>
      <c r="AA9" s="22">
        <f t="shared" ref="AA9:AA21" si="3">U9/O9</f>
        <v>0.2454116413214473</v>
      </c>
      <c r="AB9" s="23" t="s">
        <v>39</v>
      </c>
      <c r="AC9" s="41" t="s">
        <v>50</v>
      </c>
      <c r="AD9" t="s">
        <v>39</v>
      </c>
      <c r="AE9" t="s">
        <v>39</v>
      </c>
      <c r="AF9" t="s">
        <v>26</v>
      </c>
      <c r="AG9" t="s">
        <v>26</v>
      </c>
      <c r="AH9" t="s">
        <v>26</v>
      </c>
      <c r="AI9" t="s">
        <v>26</v>
      </c>
      <c r="AJ9" t="s">
        <v>26</v>
      </c>
      <c r="AK9" t="s">
        <v>39</v>
      </c>
      <c r="AL9">
        <v>2010</v>
      </c>
      <c r="AM9">
        <v>1979</v>
      </c>
      <c r="AN9" t="s">
        <v>26</v>
      </c>
      <c r="AO9">
        <v>3</v>
      </c>
      <c r="AS9">
        <f>VLOOKUP($B9,'[1]Project Management'!$B$12:$V61,21,FALSE)</f>
        <v>1</v>
      </c>
    </row>
    <row r="10" spans="1:45" ht="28">
      <c r="A10" s="17" t="s">
        <v>24</v>
      </c>
      <c r="B10" s="24" t="s">
        <v>27</v>
      </c>
      <c r="C10" s="19">
        <f>VLOOKUP($B10,'[1]Project Management'!$B$12:$S62,3,FALSE)</f>
        <v>2</v>
      </c>
      <c r="D10" s="19" t="str">
        <f>VLOOKUP($B10,'[1]Project Management'!$B$12:$S62,7,FALSE)</f>
        <v>Belmont</v>
      </c>
      <c r="E10" s="25">
        <f>VLOOKUP($B10,'[1]Project Management'!$B$12:$S62,8,FALSE)</f>
        <v>2728</v>
      </c>
      <c r="F10" s="18" t="str">
        <f>VLOOKUP($B10,'[1]Project Management'!$B$12:$S62,9,FALSE)</f>
        <v>2 family</v>
      </c>
      <c r="G10" s="18">
        <f>VLOOKUP($B10,'[1]Project Management'!$B$12:$S62,10,FALSE)</f>
        <v>3</v>
      </c>
      <c r="H10" s="18">
        <f>VLOOKUP($B10,'[1]Project Management'!$B$12:$S62,11,FALSE)</f>
        <v>1925</v>
      </c>
      <c r="I10" s="18" t="str">
        <f>VLOOKUP($B10,'[1]Project Management'!$B$12:$S62,13,FALSE)</f>
        <v>Complete</v>
      </c>
      <c r="J10" s="20" t="str">
        <f>VLOOKUP($B10,'[1]Project Statistics'!$B$8:$AA$27,9,FALSE)</f>
        <v>Y</v>
      </c>
      <c r="K10" s="20">
        <f>VLOOKUP($B10,'[1]Project Statistics'!$B$8:$AA$27,10,FALSE)</f>
        <v>0</v>
      </c>
      <c r="L10" s="20" t="str">
        <f>VLOOKUP($B10,'[1]Project Statistics'!$B$8:$AA$27,11,FALSE)</f>
        <v>Excluded</v>
      </c>
      <c r="M10" s="20" t="str">
        <f>VLOOKUP($B10,'[1]Project Statistics'!$B$8:$AA$27,12,FALSE)</f>
        <v>Included</v>
      </c>
      <c r="N10" s="20">
        <f>VLOOKUP($B10,'[1]Project Statistics'!$B$8:$AA$27,13,FALSE)</f>
        <v>3417</v>
      </c>
      <c r="O10" s="20">
        <f>VLOOKUP($B10,'[1]Project Statistics'!$B$8:$AA$27,14,FALSE)</f>
        <v>4768</v>
      </c>
      <c r="P10" s="20">
        <f>VLOOKUP($B10,'[1]Project Statistics'!$B$8:$AA$27,15,FALSE)</f>
        <v>7468</v>
      </c>
      <c r="Q10" s="20">
        <f>VLOOKUP($B10,'[1]Project Statistics'!$B$8:$AA$27,16,FALSE)</f>
        <v>9093</v>
      </c>
      <c r="R10" s="20">
        <f>VLOOKUP($B10,'[1]Project Statistics'!$B$8:$AA$27,17,FALSE)</f>
        <v>36898</v>
      </c>
      <c r="S10" s="20">
        <f>VLOOKUP($B10,'[1]Project Statistics'!$B$8:$AA$27,18,FALSE)</f>
        <v>47706</v>
      </c>
      <c r="T10" s="20">
        <f>VLOOKUP($B10,'[1]Project Statistics'!$B$8:$AA$27,19,FALSE)</f>
        <v>5700</v>
      </c>
      <c r="U10" s="20">
        <f>VLOOKUP($B10,'[1]Project Statistics'!$B$8:$AA$27,20,FALSE)</f>
        <v>590</v>
      </c>
      <c r="V10" s="27">
        <v>9.2687950566426363</v>
      </c>
      <c r="W10" s="37">
        <f t="shared" ref="W10:W21" si="4">U10*60*(1/S10)</f>
        <v>0.74204502578292031</v>
      </c>
      <c r="X10" s="39">
        <f t="shared" si="0"/>
        <v>0.76325656132833419</v>
      </c>
      <c r="Y10" s="37">
        <f t="shared" si="1"/>
        <v>6.4885076432420544E-2</v>
      </c>
      <c r="Z10" s="21">
        <f t="shared" si="2"/>
        <v>1.6681299385425812</v>
      </c>
      <c r="AA10" s="22">
        <f t="shared" si="3"/>
        <v>0.12374161073825503</v>
      </c>
      <c r="AB10" s="23" t="s">
        <v>26</v>
      </c>
      <c r="AC10" s="41" t="s">
        <v>50</v>
      </c>
      <c r="AD10" t="s">
        <v>26</v>
      </c>
      <c r="AE10" t="s">
        <v>26</v>
      </c>
      <c r="AF10" t="s">
        <v>39</v>
      </c>
      <c r="AG10" t="s">
        <v>39</v>
      </c>
      <c r="AH10" t="s">
        <v>39</v>
      </c>
      <c r="AI10" t="s">
        <v>39</v>
      </c>
      <c r="AJ10" t="s">
        <v>39</v>
      </c>
      <c r="AK10" t="s">
        <v>39</v>
      </c>
      <c r="AL10">
        <v>2010</v>
      </c>
      <c r="AM10">
        <v>2009</v>
      </c>
      <c r="AN10" t="s">
        <v>39</v>
      </c>
      <c r="AO10">
        <v>3</v>
      </c>
      <c r="AS10">
        <f>VLOOKUP($B10,'[1]Project Management'!$B$12:$V62,21,FALSE)</f>
        <v>2</v>
      </c>
    </row>
    <row r="11" spans="1:45">
      <c r="A11" s="17" t="s">
        <v>24</v>
      </c>
      <c r="B11" s="18" t="s">
        <v>28</v>
      </c>
      <c r="C11" s="19">
        <f>VLOOKUP($B11,'[1]Project Management'!$B$12:$S63,3,FALSE)</f>
        <v>1</v>
      </c>
      <c r="D11" s="19" t="str">
        <f>VLOOKUP($B11,'[1]Project Management'!$B$12:$S63,7,FALSE)</f>
        <v>Millbury</v>
      </c>
      <c r="E11" s="25">
        <f>VLOOKUP($B11,'[1]Project Management'!$B$12:$S63,8,FALSE)</f>
        <v>1100</v>
      </c>
      <c r="F11" s="18" t="str">
        <f>VLOOKUP($B11,'[1]Project Management'!$B$12:$S63,9,FALSE)</f>
        <v>Cape</v>
      </c>
      <c r="G11" s="18">
        <f>VLOOKUP($B11,'[1]Project Management'!$B$12:$S63,10,FALSE)</f>
        <v>1.5</v>
      </c>
      <c r="H11" s="18">
        <f>VLOOKUP($B11,'[1]Project Management'!$B$12:$S63,11,FALSE)</f>
        <v>1953</v>
      </c>
      <c r="I11" s="18" t="str">
        <f>VLOOKUP($B11,'[1]Project Management'!$B$12:$S63,13,FALSE)</f>
        <v>Complete</v>
      </c>
      <c r="J11" s="20" t="str">
        <f>VLOOKUP($B11,'[1]Project Statistics'!$B$8:$AA$27,9,FALSE)</f>
        <v>?</v>
      </c>
      <c r="K11" s="20">
        <f>VLOOKUP($B11,'[1]Project Statistics'!$B$8:$AA$27,10,FALSE)</f>
        <v>0</v>
      </c>
      <c r="L11" s="20" t="str">
        <f>VLOOKUP($B11,'[1]Project Statistics'!$B$8:$AA$27,11,FALSE)</f>
        <v>Included</v>
      </c>
      <c r="M11" s="20" t="str">
        <f>VLOOKUP($B11,'[1]Project Statistics'!$B$8:$AA$27,12,FALSE)</f>
        <v>Included</v>
      </c>
      <c r="N11" s="20">
        <f>VLOOKUP($B11,'[1]Project Statistics'!$B$8:$AA$27,13,FALSE)</f>
        <v>1868</v>
      </c>
      <c r="O11" s="20">
        <f>VLOOKUP($B11,'[1]Project Statistics'!$B$8:$AA$27,14,FALSE)</f>
        <v>1868</v>
      </c>
      <c r="P11" s="20">
        <f>VLOOKUP($B11,'[1]Project Statistics'!$B$8:$AA$27,15,FALSE)</f>
        <v>4278</v>
      </c>
      <c r="Q11" s="20">
        <f>VLOOKUP($B11,'[1]Project Statistics'!$B$8:$AA$27,16,FALSE)</f>
        <v>4278</v>
      </c>
      <c r="R11" s="20">
        <f>VLOOKUP($B11,'[1]Project Statistics'!$B$8:$AA$27,17,FALSE)</f>
        <v>17000</v>
      </c>
      <c r="S11" s="20">
        <f>VLOOKUP($B11,'[1]Project Statistics'!$B$8:$AA$27,18,FALSE)</f>
        <v>17000</v>
      </c>
      <c r="T11" s="20">
        <f>VLOOKUP($B11,'[1]Project Statistics'!$B$8:$AA$27,19,FALSE)</f>
        <v>2860</v>
      </c>
      <c r="U11" s="20">
        <f>VLOOKUP($B11,'[1]Project Statistics'!$B$8:$AA$27,20,FALSE)</f>
        <v>402</v>
      </c>
      <c r="V11" s="26">
        <v>10.4</v>
      </c>
      <c r="W11" s="37">
        <f t="shared" si="4"/>
        <v>1.4188235294117648</v>
      </c>
      <c r="X11" s="29">
        <f t="shared" si="0"/>
        <v>0.66853669939223936</v>
      </c>
      <c r="Y11" s="28">
        <f t="shared" si="1"/>
        <v>9.3969144460028048E-2</v>
      </c>
      <c r="Z11" s="29">
        <f t="shared" si="2"/>
        <v>1.5310492505353319</v>
      </c>
      <c r="AA11" s="28">
        <f t="shared" si="3"/>
        <v>0.21520342612419699</v>
      </c>
      <c r="AB11" s="43" t="s">
        <v>26</v>
      </c>
      <c r="AC11" s="43" t="s">
        <v>50</v>
      </c>
      <c r="AD11" t="s">
        <v>26</v>
      </c>
      <c r="AE11" t="s">
        <v>26</v>
      </c>
      <c r="AF11" t="s">
        <v>26</v>
      </c>
      <c r="AG11" t="s">
        <v>39</v>
      </c>
      <c r="AH11" t="s">
        <v>39</v>
      </c>
      <c r="AI11" t="s">
        <v>39</v>
      </c>
      <c r="AJ11" t="s">
        <v>39</v>
      </c>
      <c r="AK11" t="s">
        <v>26</v>
      </c>
      <c r="AL11">
        <v>2010</v>
      </c>
      <c r="AM11">
        <v>1979</v>
      </c>
      <c r="AN11" t="s">
        <v>26</v>
      </c>
      <c r="AO11">
        <v>1</v>
      </c>
      <c r="AS11">
        <f>VLOOKUP($B11,'[1]Project Management'!$B$12:$V63,21,FALSE)</f>
        <v>3</v>
      </c>
    </row>
    <row r="12" spans="1:45" ht="28">
      <c r="A12" s="17" t="s">
        <v>24</v>
      </c>
      <c r="B12" s="18" t="s">
        <v>29</v>
      </c>
      <c r="C12" s="19">
        <f>VLOOKUP($B12,'[1]Project Management'!$B$12:$S64,3,FALSE)</f>
        <v>1</v>
      </c>
      <c r="D12" s="19" t="str">
        <f>VLOOKUP($B12,'[1]Project Management'!$B$12:$S64,7,FALSE)</f>
        <v>Milton</v>
      </c>
      <c r="E12" s="25">
        <f>VLOOKUP($B12,'[1]Project Management'!$B$12:$S64,8,FALSE)</f>
        <v>1600</v>
      </c>
      <c r="F12" s="18" t="str">
        <f>VLOOKUP($B12,'[1]Project Management'!$B$12:$S64,9,FALSE)</f>
        <v>Garrison Colonial</v>
      </c>
      <c r="G12" s="18">
        <f>VLOOKUP($B12,'[1]Project Management'!$B$12:$S64,10,FALSE)</f>
        <v>2</v>
      </c>
      <c r="H12" s="18">
        <f>VLOOKUP($B12,'[1]Project Management'!$B$12:$S64,11,FALSE)</f>
        <v>1960</v>
      </c>
      <c r="I12" s="18" t="str">
        <f>VLOOKUP($B12,'[1]Project Management'!$B$12:$S64,13,FALSE)</f>
        <v>Complete</v>
      </c>
      <c r="J12" s="20" t="str">
        <f>VLOOKUP($B12,'[1]Project Statistics'!$B$8:$AA$27,9,FALSE)</f>
        <v>Y</v>
      </c>
      <c r="K12" s="20" t="str">
        <f>VLOOKUP($B12,'[1]Project Statistics'!$B$8:$AA$27,10,FALSE)</f>
        <v>take-off from drawings</v>
      </c>
      <c r="L12" s="20" t="str">
        <f>VLOOKUP($B12,'[1]Project Statistics'!$B$8:$AA$27,11,FALSE)</f>
        <v>Included</v>
      </c>
      <c r="M12" s="20" t="str">
        <f>VLOOKUP($B12,'[1]Project Statistics'!$B$8:$AA$27,12,FALSE)</f>
        <v>Included</v>
      </c>
      <c r="N12" s="20">
        <f>VLOOKUP($B12,'[1]Project Statistics'!$B$8:$AA$27,13,FALSE)</f>
        <v>2368</v>
      </c>
      <c r="O12" s="20">
        <f>VLOOKUP($B12,'[1]Project Statistics'!$B$8:$AA$27,14,FALSE)</f>
        <v>2368</v>
      </c>
      <c r="P12" s="20">
        <f>VLOOKUP($B12,'[1]Project Statistics'!$B$8:$AA$27,15,FALSE)</f>
        <v>3408</v>
      </c>
      <c r="Q12" s="20">
        <f>VLOOKUP($B12,'[1]Project Statistics'!$B$8:$AA$27,16,FALSE)</f>
        <v>3740</v>
      </c>
      <c r="R12" s="20">
        <f>VLOOKUP($B12,'[1]Project Statistics'!$B$8:$AA$27,17,FALSE)</f>
        <v>22457.599999999999</v>
      </c>
      <c r="S12" s="20">
        <f>VLOOKUP($B12,'[1]Project Statistics'!$B$8:$AA$27,18,FALSE)</f>
        <v>24457.599999999999</v>
      </c>
      <c r="T12" s="20">
        <f>VLOOKUP($B12,'[1]Project Statistics'!$B$8:$AA$27,19,FALSE)</f>
        <v>1695</v>
      </c>
      <c r="U12" s="20">
        <f>VLOOKUP($B12,'[1]Project Statistics'!$B$8:$AA$27,20,FALSE)</f>
        <v>584</v>
      </c>
      <c r="V12" s="30">
        <f>T12*60*(1/R12)</f>
        <v>4.5285337703049304</v>
      </c>
      <c r="W12" s="28">
        <f t="shared" si="4"/>
        <v>1.4326835012429675</v>
      </c>
      <c r="X12" s="29">
        <f t="shared" si="0"/>
        <v>0.49735915492957744</v>
      </c>
      <c r="Y12" s="28">
        <f t="shared" si="1"/>
        <v>0.15614973262032086</v>
      </c>
      <c r="Z12" s="29">
        <f t="shared" si="2"/>
        <v>0.71579391891891897</v>
      </c>
      <c r="AA12" s="28">
        <f t="shared" si="3"/>
        <v>0.24662162162162163</v>
      </c>
      <c r="AB12" s="43" t="s">
        <v>39</v>
      </c>
      <c r="AC12" s="43" t="s">
        <v>50</v>
      </c>
      <c r="AD12" t="s">
        <v>39</v>
      </c>
      <c r="AE12" t="s">
        <v>26</v>
      </c>
      <c r="AF12" t="s">
        <v>26</v>
      </c>
      <c r="AG12" t="s">
        <v>39</v>
      </c>
      <c r="AH12" t="s">
        <v>26</v>
      </c>
      <c r="AI12" t="s">
        <v>39</v>
      </c>
      <c r="AJ12" t="s">
        <v>26</v>
      </c>
      <c r="AK12" t="s">
        <v>39</v>
      </c>
      <c r="AL12">
        <v>2010</v>
      </c>
      <c r="AM12">
        <v>2010</v>
      </c>
      <c r="AN12" t="s">
        <v>26</v>
      </c>
      <c r="AO12">
        <v>2</v>
      </c>
      <c r="AS12">
        <f>VLOOKUP($B12,'[1]Project Management'!$B$12:$V64,21,FALSE)</f>
        <v>4</v>
      </c>
    </row>
    <row r="13" spans="1:45" ht="28">
      <c r="A13" s="17" t="s">
        <v>24</v>
      </c>
      <c r="B13" s="18" t="s">
        <v>30</v>
      </c>
      <c r="C13" s="19">
        <f>VLOOKUP($B13,'[1]Project Management'!$B$12:$S65,3,FALSE)</f>
        <v>1</v>
      </c>
      <c r="D13" s="19" t="str">
        <f>VLOOKUP($B13,'[1]Project Management'!$B$12:$S65,7,FALSE)</f>
        <v>Quincy</v>
      </c>
      <c r="E13" s="25">
        <f>VLOOKUP($B13,'[1]Project Management'!$B$12:$S65,8,FALSE)</f>
        <v>1808</v>
      </c>
      <c r="F13" s="18" t="str">
        <f>VLOOKUP($B13,'[1]Project Management'!$B$12:$S65,9,FALSE)</f>
        <v>bungalow</v>
      </c>
      <c r="G13" s="18">
        <f>VLOOKUP($B13,'[1]Project Management'!$B$12:$S65,10,FALSE)</f>
        <v>1.5</v>
      </c>
      <c r="H13" s="18">
        <f>VLOOKUP($B13,'[1]Project Management'!$B$12:$S65,11,FALSE)</f>
        <v>1905</v>
      </c>
      <c r="I13" s="18" t="str">
        <f>VLOOKUP($B13,'[1]Project Management'!$B$12:$S65,13,FALSE)</f>
        <v>Complete</v>
      </c>
      <c r="J13" s="20" t="str">
        <f>VLOOKUP($B13,'[1]Project Statistics'!$B$8:$AA$27,9,FALSE)</f>
        <v>Y</v>
      </c>
      <c r="K13" s="20" t="str">
        <f>VLOOKUP($B13,'[1]Project Statistics'!$B$8:$AA$27,10,FALSE)</f>
        <v>take-off from model</v>
      </c>
      <c r="L13" s="20" t="str">
        <f>VLOOKUP($B13,'[1]Project Statistics'!$B$8:$AA$27,11,FALSE)</f>
        <v>Included</v>
      </c>
      <c r="M13" s="20" t="str">
        <f>VLOOKUP($B13,'[1]Project Statistics'!$B$8:$AA$27,12,FALSE)</f>
        <v>Included</v>
      </c>
      <c r="N13" s="20">
        <f>VLOOKUP($B13,'[1]Project Statistics'!$B$8:$AA$27,13,FALSE)</f>
        <v>3484</v>
      </c>
      <c r="O13" s="20">
        <f>VLOOKUP($B13,'[1]Project Statistics'!$B$8:$AA$27,14,FALSE)</f>
        <v>4576</v>
      </c>
      <c r="P13" s="20">
        <f>VLOOKUP($B13,'[1]Project Statistics'!$B$8:$AA$27,15,FALSE)</f>
        <v>5340</v>
      </c>
      <c r="Q13" s="20">
        <f>VLOOKUP($B13,'[1]Project Statistics'!$B$8:$AA$27,16,FALSE)</f>
        <v>6806</v>
      </c>
      <c r="R13" s="20">
        <f>VLOOKUP($B13,'[1]Project Statistics'!$B$8:$AA$27,17,FALSE)</f>
        <v>16350</v>
      </c>
      <c r="S13" s="20">
        <f>VLOOKUP($B13,'[1]Project Statistics'!$B$8:$AA$27,18,FALSE)</f>
        <v>36346</v>
      </c>
      <c r="T13" s="20">
        <f>VLOOKUP($B13,'[1]Project Statistics'!$B$8:$AA$27,19,FALSE)</f>
        <v>5050</v>
      </c>
      <c r="U13" s="20">
        <f>VLOOKUP($B13,'[1]Project Statistics'!$B$8:$AA$27,20,FALSE)</f>
        <v>762</v>
      </c>
      <c r="V13" s="26">
        <v>18.53</v>
      </c>
      <c r="W13" s="28">
        <f t="shared" si="4"/>
        <v>1.2579100863919002</v>
      </c>
      <c r="X13" s="29">
        <f t="shared" si="0"/>
        <v>0.94569288389513106</v>
      </c>
      <c r="Y13" s="28">
        <f t="shared" si="1"/>
        <v>0.11196003526300323</v>
      </c>
      <c r="Z13" s="29">
        <f t="shared" si="2"/>
        <v>1.4494833524684272</v>
      </c>
      <c r="AA13" s="28">
        <f t="shared" si="3"/>
        <v>0.16652097902097901</v>
      </c>
      <c r="AB13" s="43" t="s">
        <v>26</v>
      </c>
      <c r="AC13" s="43" t="s">
        <v>50</v>
      </c>
      <c r="AD13" t="s">
        <v>26</v>
      </c>
      <c r="AE13" t="s">
        <v>26</v>
      </c>
      <c r="AF13" t="s">
        <v>26</v>
      </c>
      <c r="AG13" t="s">
        <v>26</v>
      </c>
      <c r="AH13" t="s">
        <v>39</v>
      </c>
      <c r="AI13" t="s">
        <v>26</v>
      </c>
      <c r="AJ13" t="s">
        <v>26</v>
      </c>
      <c r="AK13" t="s">
        <v>26</v>
      </c>
      <c r="AL13">
        <v>2011</v>
      </c>
      <c r="AM13">
        <v>1985</v>
      </c>
      <c r="AN13" t="s">
        <v>26</v>
      </c>
      <c r="AO13">
        <v>3</v>
      </c>
      <c r="AS13">
        <f>VLOOKUP($B13,'[1]Project Management'!$B$12:$V65,21,FALSE)</f>
        <v>5</v>
      </c>
    </row>
    <row r="14" spans="1:45" ht="28">
      <c r="A14" s="17" t="s">
        <v>24</v>
      </c>
      <c r="B14" s="18" t="s">
        <v>31</v>
      </c>
      <c r="C14" s="19">
        <f>VLOOKUP($B14,'[1]Project Management'!$B$12:$S66,3,FALSE)</f>
        <v>2</v>
      </c>
      <c r="D14" s="19" t="str">
        <f>VLOOKUP($B14,'[1]Project Management'!$B$12:$S66,7,FALSE)</f>
        <v>Arlington</v>
      </c>
      <c r="E14" s="25">
        <f>VLOOKUP($B14,'[1]Project Management'!$B$12:$S67,8,FALSE)</f>
        <v>2112</v>
      </c>
      <c r="F14" s="18" t="str">
        <f>VLOOKUP($B14,'[1]Project Management'!$B$12:$S67,9,FALSE)</f>
        <v>2 family</v>
      </c>
      <c r="G14" s="18">
        <f>VLOOKUP($B14,'[1]Project Management'!$B$12:$S67,10,FALSE)</f>
        <v>2</v>
      </c>
      <c r="H14" s="18">
        <f>VLOOKUP($B14,'[1]Project Management'!$B$12:$S67,11,FALSE)</f>
        <v>1910</v>
      </c>
      <c r="I14" s="18" t="str">
        <f>VLOOKUP($B14,'[1]Project Management'!$B$12:$S67,13,FALSE)</f>
        <v>Complete</v>
      </c>
      <c r="J14" s="20">
        <f>VLOOKUP($B14,'[1]Project Statistics'!$B$8:$AA$27,9,FALSE)</f>
        <v>0</v>
      </c>
      <c r="K14" s="20" t="str">
        <f>VLOOKUP($B14,'[1]Project Statistics'!$B$8:$AA$27,10,FALSE)</f>
        <v>take-off from drawings</v>
      </c>
      <c r="L14" s="20" t="str">
        <f>VLOOKUP($B14,'[1]Project Statistics'!$B$8:$AA$27,11,FALSE)</f>
        <v>Excluded</v>
      </c>
      <c r="M14" s="20" t="str">
        <f>VLOOKUP($B14,'[1]Project Statistics'!$B$8:$AA$27,12,FALSE)</f>
        <v>Excluded</v>
      </c>
      <c r="N14" s="20">
        <f>VLOOKUP($B14,'[1]Project Statistics'!$B$8:$AA$27,13,FALSE)</f>
        <v>2502</v>
      </c>
      <c r="O14" s="20">
        <f>VLOOKUP($B14,'[1]Project Statistics'!$B$8:$AA$27,14,FALSE)</f>
        <v>3627</v>
      </c>
      <c r="P14" s="20">
        <f>VLOOKUP($B14,'[1]Project Statistics'!$B$8:$AA$27,15,FALSE)</f>
        <v>5153</v>
      </c>
      <c r="Q14" s="20">
        <f>VLOOKUP($B14,'[1]Project Statistics'!$B$8:$AA$27,16,FALSE)</f>
        <v>5925</v>
      </c>
      <c r="R14" s="20">
        <f>VLOOKUP($B14,'[1]Project Statistics'!$B$8:$AA$27,17,FALSE)</f>
        <v>20157</v>
      </c>
      <c r="S14" s="20">
        <f>VLOOKUP($B14,'[1]Project Statistics'!$B$8:$AA$27,18,FALSE)</f>
        <v>29648</v>
      </c>
      <c r="T14" s="20">
        <f>VLOOKUP($B14,'[1]Project Statistics'!$B$8:$AA$27,19,FALSE)</f>
        <v>8730</v>
      </c>
      <c r="U14" s="20">
        <f>VLOOKUP($B14,'[1]Project Statistics'!$B$8:$AA$27,20,FALSE)</f>
        <v>3586</v>
      </c>
      <c r="V14" s="30">
        <f>T14*60*(1/R14)</f>
        <v>25.986009822890313</v>
      </c>
      <c r="W14" s="28">
        <f t="shared" si="4"/>
        <v>7.2571505666486775</v>
      </c>
      <c r="X14" s="29">
        <f t="shared" si="0"/>
        <v>1.6941587424801088</v>
      </c>
      <c r="Y14" s="28">
        <f t="shared" si="1"/>
        <v>0.60523206751054848</v>
      </c>
      <c r="Z14" s="31">
        <f t="shared" si="2"/>
        <v>3.4892086330935252</v>
      </c>
      <c r="AA14" s="32">
        <f t="shared" si="3"/>
        <v>0.98869589192169838</v>
      </c>
      <c r="AB14" s="33" t="s">
        <v>39</v>
      </c>
      <c r="AC14" s="42" t="s">
        <v>50</v>
      </c>
      <c r="AD14" t="s">
        <v>39</v>
      </c>
      <c r="AE14" t="s">
        <v>26</v>
      </c>
      <c r="AF14" t="s">
        <v>26</v>
      </c>
      <c r="AG14" t="s">
        <v>39</v>
      </c>
      <c r="AH14" t="s">
        <v>26</v>
      </c>
      <c r="AI14" t="s">
        <v>39</v>
      </c>
      <c r="AJ14" t="s">
        <v>26</v>
      </c>
      <c r="AK14" t="s">
        <v>26</v>
      </c>
      <c r="AL14">
        <v>2011</v>
      </c>
      <c r="AM14">
        <v>2009</v>
      </c>
      <c r="AN14" t="s">
        <v>39</v>
      </c>
      <c r="AO14">
        <v>0</v>
      </c>
      <c r="AS14">
        <f>VLOOKUP($B14,'[1]Project Management'!$B$12:$V67,21,FALSE)</f>
        <v>6</v>
      </c>
    </row>
    <row r="15" spans="1:45">
      <c r="A15" s="17" t="s">
        <v>32</v>
      </c>
      <c r="B15" s="18" t="s">
        <v>33</v>
      </c>
      <c r="C15" s="19">
        <f>VLOOKUP($B15,'[1]Project Management'!$B$12:$S67,3,FALSE)</f>
        <v>1</v>
      </c>
      <c r="D15" s="19" t="str">
        <f>VLOOKUP($B15,'[1]Project Management'!$B$12:$S67,7,FALSE)</f>
        <v>Newton</v>
      </c>
      <c r="E15" s="25">
        <f>VLOOKUP($B15,'[1]Project Management'!$B$12:$S68,8,FALSE)</f>
        <v>1724</v>
      </c>
      <c r="F15" s="18" t="str">
        <f>VLOOKUP($B15,'[1]Project Management'!$B$12:$S68,9,FALSE)</f>
        <v>Colonial</v>
      </c>
      <c r="G15" s="18">
        <f>VLOOKUP($B15,'[1]Project Management'!$B$12:$S68,10,FALSE)</f>
        <v>1</v>
      </c>
      <c r="H15" s="18">
        <f>VLOOKUP($B15,'[1]Project Management'!$B$12:$S68,11,FALSE)</f>
        <v>1930</v>
      </c>
      <c r="I15" s="18" t="str">
        <f>VLOOKUP($B15,'[1]Project Management'!$B$12:$S68,13,FALSE)</f>
        <v>Complete</v>
      </c>
      <c r="J15" s="20" t="str">
        <f>VLOOKUP($B15,'[1]Project Statistics'!$B$8:$AA$27,9,FALSE)</f>
        <v>Y</v>
      </c>
      <c r="K15" s="20">
        <f>VLOOKUP($B15,'[1]Project Statistics'!$B$8:$AA$27,10,FALSE)</f>
        <v>0</v>
      </c>
      <c r="L15" s="20">
        <f>VLOOKUP($B15,'[1]Project Statistics'!$B$8:$AA$27,11,FALSE)</f>
        <v>0</v>
      </c>
      <c r="M15" s="20">
        <f>VLOOKUP($B15,'[1]Project Statistics'!$B$8:$AA$27,12,FALSE)</f>
        <v>0</v>
      </c>
      <c r="N15" s="20">
        <f>VLOOKUP($B15,'[1]Project Statistics'!$B$8:$AA$27,13,FALSE)</f>
        <v>1815</v>
      </c>
      <c r="O15" s="20">
        <f>VLOOKUP($B15,'[1]Project Statistics'!$B$8:$AA$27,14,FALSE)</f>
        <v>2199</v>
      </c>
      <c r="P15" s="20">
        <f>VLOOKUP($B15,'[1]Project Statistics'!$B$8:$AA$27,15,FALSE)</f>
        <v>3729</v>
      </c>
      <c r="Q15" s="20">
        <f>VLOOKUP($B15,'[1]Project Statistics'!$B$8:$AA$27,16,FALSE)</f>
        <v>4337</v>
      </c>
      <c r="R15" s="20">
        <f>VLOOKUP($B15,'[1]Project Statistics'!$B$8:$AA$27,17,FALSE)</f>
        <v>18831</v>
      </c>
      <c r="S15" s="20">
        <f>VLOOKUP($B15,'[1]Project Statistics'!$B$8:$AA$27,18,FALSE)</f>
        <v>21904</v>
      </c>
      <c r="T15" s="20">
        <f>VLOOKUP($B15,'[1]Project Statistics'!$B$8:$AA$27,19,FALSE)</f>
        <v>3199</v>
      </c>
      <c r="U15" s="20">
        <f>VLOOKUP($B15,'[1]Project Statistics'!$B$8:$AA$27,20,FALSE)</f>
        <v>1299</v>
      </c>
      <c r="V15" s="30">
        <f>T15*60*(1/R15)</f>
        <v>10.192767245499441</v>
      </c>
      <c r="W15" s="28">
        <f t="shared" si="4"/>
        <v>3.558254200146092</v>
      </c>
      <c r="X15" s="29">
        <f t="shared" si="0"/>
        <v>0.857870742826495</v>
      </c>
      <c r="Y15" s="28">
        <f t="shared" si="1"/>
        <v>0.29951579432787639</v>
      </c>
      <c r="Z15" s="29">
        <f t="shared" si="2"/>
        <v>1.7625344352617081</v>
      </c>
      <c r="AA15" s="28">
        <f t="shared" si="3"/>
        <v>0.59072305593451568</v>
      </c>
      <c r="AB15" s="33" t="s">
        <v>26</v>
      </c>
      <c r="AC15" s="42" t="s">
        <v>50</v>
      </c>
      <c r="AD15" t="s">
        <v>26</v>
      </c>
      <c r="AE15" t="s">
        <v>26</v>
      </c>
      <c r="AF15" t="s">
        <v>26</v>
      </c>
      <c r="AG15" t="s">
        <v>39</v>
      </c>
      <c r="AH15" t="s">
        <v>39</v>
      </c>
      <c r="AI15" t="s">
        <v>26</v>
      </c>
      <c r="AJ15" t="s">
        <v>26</v>
      </c>
      <c r="AK15" t="s">
        <v>39</v>
      </c>
      <c r="AL15">
        <v>2011</v>
      </c>
      <c r="AM15">
        <v>2006</v>
      </c>
      <c r="AN15" t="s">
        <v>26</v>
      </c>
      <c r="AO15">
        <v>3</v>
      </c>
      <c r="AS15">
        <f>VLOOKUP($B15,'[1]Project Management'!$B$12:$V68,21,FALSE)</f>
        <v>7</v>
      </c>
    </row>
    <row r="16" spans="1:45">
      <c r="A16" s="17" t="s">
        <v>24</v>
      </c>
      <c r="B16" s="18" t="s">
        <v>34</v>
      </c>
      <c r="C16" s="19">
        <f>VLOOKUP($B16,'[1]Project Management'!$B$12:$S68,3,FALSE)</f>
        <v>3</v>
      </c>
      <c r="D16" s="19" t="str">
        <f>VLOOKUP($B16,'[1]Project Management'!$B$12:$S68,7,FALSE)</f>
        <v>Jamaica Plain</v>
      </c>
      <c r="E16" s="25">
        <f>VLOOKUP($B16,'[1]Project Management'!$B$12:$S66,8,FALSE)</f>
        <v>3885</v>
      </c>
      <c r="F16" s="18" t="str">
        <f>VLOOKUP($B16,'[1]Project Management'!$B$12:$S66,9,FALSE)</f>
        <v>3-family</v>
      </c>
      <c r="G16" s="18">
        <f>VLOOKUP($B16,'[1]Project Management'!$B$12:$S66,10,FALSE)</f>
        <v>3</v>
      </c>
      <c r="H16" s="18">
        <f>VLOOKUP($B16,'[1]Project Management'!$B$12:$S66,11,FALSE)</f>
        <v>1907</v>
      </c>
      <c r="I16" s="18" t="str">
        <f>VLOOKUP($B16,'[1]Project Management'!$B$12:$S66,13,FALSE)</f>
        <v>Complete</v>
      </c>
      <c r="J16" s="20">
        <f>VLOOKUP($B16,'[1]Project Statistics'!$B$8:$AA$27,9,FALSE)</f>
        <v>0</v>
      </c>
      <c r="K16" s="20">
        <f>VLOOKUP($B16,'[1]Project Statistics'!$B$8:$AA$27,10,FALSE)</f>
        <v>0</v>
      </c>
      <c r="L16" s="20">
        <f>VLOOKUP($B16,'[1]Project Statistics'!$B$8:$AA$27,11,FALSE)</f>
        <v>0</v>
      </c>
      <c r="M16" s="20">
        <f>VLOOKUP($B16,'[1]Project Statistics'!$B$8:$AA$27,12,FALSE)</f>
        <v>0</v>
      </c>
      <c r="N16" s="20">
        <f>VLOOKUP($B16,'[1]Project Statistics'!$B$8:$AA$27,13,FALSE)</f>
        <v>3885</v>
      </c>
      <c r="O16" s="20">
        <f>VLOOKUP($B16,'[1]Project Statistics'!$B$8:$AA$27,14,FALSE)</f>
        <v>3885</v>
      </c>
      <c r="P16" s="20">
        <f>VLOOKUP($B16,'[1]Project Statistics'!$B$8:$AA$27,15,FALSE)</f>
        <v>6308</v>
      </c>
      <c r="Q16" s="20">
        <f>VLOOKUP($B16,'[1]Project Statistics'!$B$8:$AA$27,16,FALSE)</f>
        <v>7456</v>
      </c>
      <c r="R16" s="20">
        <f>VLOOKUP($B16,'[1]Project Statistics'!$B$8:$AA$27,17,FALSE)</f>
        <v>42586</v>
      </c>
      <c r="S16" s="20">
        <f>VLOOKUP($B16,'[1]Project Statistics'!$B$8:$AA$27,18,FALSE)</f>
        <v>42586</v>
      </c>
      <c r="T16" s="20">
        <f>VLOOKUP($B16,'[1]Project Statistics'!$B$8:$AA$27,19,FALSE)</f>
        <v>7729</v>
      </c>
      <c r="U16" s="20">
        <f>VLOOKUP($B16,'[1]Project Statistics'!$B$8:$AA$27,20,FALSE)</f>
        <v>1802</v>
      </c>
      <c r="V16" s="30">
        <f>T16*60*(1/R16)</f>
        <v>10.889494199971821</v>
      </c>
      <c r="W16" s="28">
        <f t="shared" si="4"/>
        <v>2.5388625369839852</v>
      </c>
      <c r="X16" s="29">
        <f t="shared" si="0"/>
        <v>1.2252694990488269</v>
      </c>
      <c r="Y16" s="28">
        <f t="shared" si="1"/>
        <v>0.24168454935622319</v>
      </c>
      <c r="Z16" s="29">
        <f t="shared" si="2"/>
        <v>1.9894465894465894</v>
      </c>
      <c r="AA16" s="28">
        <f t="shared" si="3"/>
        <v>0.46383526383526386</v>
      </c>
      <c r="AB16" s="23" t="s">
        <v>39</v>
      </c>
      <c r="AC16" s="41" t="s">
        <v>47</v>
      </c>
      <c r="AD16" t="s">
        <v>39</v>
      </c>
      <c r="AE16" t="s">
        <v>26</v>
      </c>
      <c r="AF16" t="s">
        <v>26</v>
      </c>
      <c r="AG16" t="s">
        <v>39</v>
      </c>
      <c r="AH16" t="s">
        <v>26</v>
      </c>
      <c r="AI16" t="s">
        <v>39</v>
      </c>
      <c r="AJ16" t="s">
        <v>39</v>
      </c>
      <c r="AK16" t="s">
        <v>39</v>
      </c>
      <c r="AL16">
        <v>2011</v>
      </c>
      <c r="AM16">
        <v>2006</v>
      </c>
      <c r="AN16" t="s">
        <v>26</v>
      </c>
      <c r="AO16">
        <v>3</v>
      </c>
      <c r="AS16">
        <f>VLOOKUP($B16,'[1]Project Management'!$B$12:$V66,21,FALSE)</f>
        <v>8</v>
      </c>
    </row>
    <row r="17" spans="1:45">
      <c r="A17" s="17" t="s">
        <v>24</v>
      </c>
      <c r="B17" s="18" t="s">
        <v>35</v>
      </c>
      <c r="C17" s="19">
        <f>VLOOKUP($B17,'[1]Project Management'!$B$12:$S69,3,FALSE)</f>
        <v>1</v>
      </c>
      <c r="D17" s="19" t="str">
        <f>VLOOKUP($B17,'[1]Project Management'!$B$12:$S69,7,FALSE)</f>
        <v>Northampton</v>
      </c>
      <c r="E17" s="25">
        <f>VLOOKUP($B17,'[1]Project Management'!$B$12:$S69,8,FALSE)</f>
        <v>2032</v>
      </c>
      <c r="F17" s="18" t="str">
        <f>VLOOKUP($B17,'[1]Project Management'!$B$12:$S69,9,FALSE)</f>
        <v>Victorian</v>
      </c>
      <c r="G17" s="18">
        <f>VLOOKUP($B17,'[1]Project Management'!$B$12:$S69,10,FALSE)</f>
        <v>1</v>
      </c>
      <c r="H17" s="18">
        <f>VLOOKUP($B17,'[1]Project Management'!$B$12:$S69,11,FALSE)</f>
        <v>1859</v>
      </c>
      <c r="I17" s="18" t="str">
        <f>VLOOKUP($B17,'[1]Project Management'!$B$12:$S69,13,FALSE)</f>
        <v>Complete</v>
      </c>
      <c r="J17" s="20">
        <f>VLOOKUP($B17,'[1]Project Statistics'!$B$8:$AA$27,9,FALSE)</f>
        <v>0</v>
      </c>
      <c r="K17" s="20">
        <f>VLOOKUP($B17,'[1]Project Statistics'!$B$8:$AA$27,10,FALSE)</f>
        <v>0</v>
      </c>
      <c r="L17" s="20">
        <f>VLOOKUP($B17,'[1]Project Statistics'!$B$8:$AA$27,11,FALSE)</f>
        <v>0</v>
      </c>
      <c r="M17" s="20" t="str">
        <f>VLOOKUP($B17,'[1]Project Statistics'!$B$8:$AA$27,12,FALSE)</f>
        <v>Included</v>
      </c>
      <c r="N17" s="20">
        <f>VLOOKUP($B17,'[1]Project Statistics'!$B$8:$AA$27,13,FALSE)</f>
        <v>2032</v>
      </c>
      <c r="O17" s="20">
        <f>VLOOKUP($B17,'[1]Project Statistics'!$B$8:$AA$27,14,FALSE)</f>
        <v>2747</v>
      </c>
      <c r="P17" s="20">
        <f>VLOOKUP($B17,'[1]Project Statistics'!$B$8:$AA$27,15,FALSE)</f>
        <v>6711</v>
      </c>
      <c r="Q17" s="20">
        <f>VLOOKUP($B17,'[1]Project Statistics'!$B$8:$AA$27,16,FALSE)</f>
        <v>7798</v>
      </c>
      <c r="R17" s="20">
        <f>VLOOKUP($B17,'[1]Project Statistics'!$B$8:$AA$27,17,FALSE)</f>
        <v>0</v>
      </c>
      <c r="S17" s="20">
        <f>VLOOKUP($B17,'[1]Project Statistics'!$B$8:$AA$27,18,FALSE)</f>
        <v>34624</v>
      </c>
      <c r="T17" s="20">
        <f>VLOOKUP($B17,'[1]Project Statistics'!$B$8:$AA$27,19,FALSE)</f>
        <v>6155</v>
      </c>
      <c r="U17" s="20">
        <f>VLOOKUP($B17,'[1]Project Statistics'!$B$8:$AA$27,20,FALSE)</f>
        <v>473</v>
      </c>
      <c r="V17" s="30"/>
      <c r="W17" s="28">
        <f t="shared" si="4"/>
        <v>0.81966266173752311</v>
      </c>
      <c r="X17" s="29">
        <f t="shared" si="0"/>
        <v>0.91715094620771864</v>
      </c>
      <c r="Y17" s="28">
        <f t="shared" si="1"/>
        <v>6.0656578609899973E-2</v>
      </c>
      <c r="Z17" s="29">
        <f t="shared" si="2"/>
        <v>3.0290354330708662</v>
      </c>
      <c r="AA17" s="28">
        <f t="shared" si="3"/>
        <v>0.17218784128139789</v>
      </c>
      <c r="AB17" s="33" t="s">
        <v>26</v>
      </c>
      <c r="AC17" s="42" t="s">
        <v>50</v>
      </c>
      <c r="AD17" t="s">
        <v>26</v>
      </c>
      <c r="AE17" t="s">
        <v>26</v>
      </c>
      <c r="AF17" t="s">
        <v>39</v>
      </c>
      <c r="AG17" t="s">
        <v>39</v>
      </c>
      <c r="AH17" t="s">
        <v>39</v>
      </c>
      <c r="AI17" t="s">
        <v>39</v>
      </c>
      <c r="AJ17" t="s">
        <v>39</v>
      </c>
      <c r="AK17" t="s">
        <v>26</v>
      </c>
      <c r="AL17">
        <v>2011</v>
      </c>
      <c r="AM17">
        <v>1988</v>
      </c>
      <c r="AN17" t="s">
        <v>26</v>
      </c>
      <c r="AO17">
        <v>3</v>
      </c>
      <c r="AS17">
        <f>VLOOKUP($B17,'[1]Project Management'!$B$12:$V70,21,FALSE)</f>
        <v>9</v>
      </c>
    </row>
    <row r="18" spans="1:45" ht="70">
      <c r="A18" s="17" t="s">
        <v>24</v>
      </c>
      <c r="B18" s="18" t="s">
        <v>36</v>
      </c>
      <c r="C18" s="19">
        <f>VLOOKUP($B18,'[1]Project Management'!$B$12:$S70,3,FALSE)</f>
        <v>1</v>
      </c>
      <c r="D18" s="19" t="str">
        <f>VLOOKUP($B18,'[1]Project Management'!$B$12:$S70,7,FALSE)</f>
        <v>Lancaster</v>
      </c>
      <c r="E18" s="25">
        <f>VLOOKUP($B18,'[1]Project Management'!$B$12:$S68,8,FALSE)</f>
        <v>908</v>
      </c>
      <c r="F18" s="18" t="str">
        <f>VLOOKUP($B18,'[1]Project Management'!$B$12:$S68,9,FALSE)</f>
        <v>Cape to Colonial</v>
      </c>
      <c r="G18" s="18">
        <f>VLOOKUP($B18,'[1]Project Management'!$B$12:$S68,10,FALSE)</f>
        <v>2</v>
      </c>
      <c r="H18" s="18">
        <f>VLOOKUP($B18,'[1]Project Management'!$B$12:$S68,11,FALSE)</f>
        <v>1900</v>
      </c>
      <c r="I18" s="18" t="str">
        <f>VLOOKUP($B18,'[1]Project Management'!$B$12:$S68,13,FALSE)</f>
        <v>Complete</v>
      </c>
      <c r="J18" s="20" t="str">
        <f>VLOOKUP($B18,'[1]Project Statistics'!$B$8:$AA$27,9,FALSE)</f>
        <v>Y</v>
      </c>
      <c r="K18" s="20">
        <f>VLOOKUP($B18,'[1]Project Statistics'!$B$8:$AA$27,10,FALSE)</f>
        <v>0</v>
      </c>
      <c r="L18" s="20">
        <f>VLOOKUP($B18,'[1]Project Statistics'!$B$8:$AA$27,11,FALSE)</f>
        <v>0</v>
      </c>
      <c r="M18" s="20">
        <f>VLOOKUP($B18,'[1]Project Statistics'!$B$8:$AA$27,12,FALSE)</f>
        <v>0</v>
      </c>
      <c r="N18" s="20">
        <f>VLOOKUP($B18,'[1]Project Statistics'!$B$8:$AA$27,13,FALSE)</f>
        <v>980</v>
      </c>
      <c r="O18" s="20">
        <f>VLOOKUP($B18,'[1]Project Statistics'!$B$8:$AA$27,14,FALSE)</f>
        <v>1440</v>
      </c>
      <c r="P18" s="20">
        <f>VLOOKUP($B18,'[1]Project Statistics'!$B$8:$AA$27,15,FALSE)</f>
        <v>2583</v>
      </c>
      <c r="Q18" s="20">
        <f>VLOOKUP($B18,'[1]Project Statistics'!$B$8:$AA$27,16,FALSE)</f>
        <v>3222</v>
      </c>
      <c r="R18" s="20">
        <f>VLOOKUP($B18,'[1]Project Statistics'!$B$8:$AA$27,17,FALSE)</f>
        <v>7080</v>
      </c>
      <c r="S18" s="20">
        <f>VLOOKUP($B18,'[1]Project Statistics'!$B$8:$AA$27,18,FALSE)</f>
        <v>12336</v>
      </c>
      <c r="T18" s="20">
        <f>VLOOKUP($B18,'[1]Project Statistics'!$B$8:$AA$27,19,FALSE)</f>
        <v>4254</v>
      </c>
      <c r="U18" s="20">
        <f>VLOOKUP($B18,'[1]Project Statistics'!$B$8:$AA$27,20,FALSE)</f>
        <v>293</v>
      </c>
      <c r="V18" s="30">
        <f>T18*60*(1/R18)</f>
        <v>36.050847457627121</v>
      </c>
      <c r="W18" s="28">
        <f t="shared" si="4"/>
        <v>1.4250972762645915</v>
      </c>
      <c r="X18" s="29">
        <f t="shared" si="0"/>
        <v>1.6469221835075494</v>
      </c>
      <c r="Y18" s="28">
        <f t="shared" si="1"/>
        <v>9.0937306021104905E-2</v>
      </c>
      <c r="Z18" s="29">
        <f t="shared" si="2"/>
        <v>4.3408163265306126</v>
      </c>
      <c r="AA18" s="28">
        <f t="shared" si="3"/>
        <v>0.20347222222222222</v>
      </c>
      <c r="AB18" s="33" t="s">
        <v>39</v>
      </c>
      <c r="AC18" s="42" t="s">
        <v>47</v>
      </c>
      <c r="AD18" t="s">
        <v>39</v>
      </c>
      <c r="AE18" t="s">
        <v>26</v>
      </c>
      <c r="AF18" t="s">
        <v>26</v>
      </c>
      <c r="AG18" t="s">
        <v>26</v>
      </c>
      <c r="AH18" t="s">
        <v>26</v>
      </c>
      <c r="AI18" t="s">
        <v>39</v>
      </c>
      <c r="AJ18" t="s">
        <v>26</v>
      </c>
      <c r="AK18" t="s">
        <v>26</v>
      </c>
      <c r="AL18">
        <v>2011</v>
      </c>
      <c r="AM18">
        <v>2009</v>
      </c>
      <c r="AN18" t="s">
        <v>26</v>
      </c>
      <c r="AO18">
        <v>3</v>
      </c>
      <c r="AS18">
        <f>VLOOKUP($B18,'[1]Project Management'!$B$12:$V69,21,FALSE)</f>
        <v>10</v>
      </c>
    </row>
    <row r="19" spans="1:45">
      <c r="A19" s="17" t="s">
        <v>24</v>
      </c>
      <c r="B19" s="18" t="s">
        <v>37</v>
      </c>
      <c r="C19" s="19">
        <f>VLOOKUP($B19,'[1]Project Management'!$B$12:$S71,3,FALSE)</f>
        <v>1</v>
      </c>
      <c r="D19" s="19" t="str">
        <f>VLOOKUP($B19,'[1]Project Management'!$B$12:$S71,7,FALSE)</f>
        <v>Brookline</v>
      </c>
      <c r="E19" s="25">
        <f>VLOOKUP($B19,'[1]Project Management'!$B$12:$S70,8,FALSE)</f>
        <v>2284</v>
      </c>
      <c r="F19" s="18" t="str">
        <f>VLOOKUP($B19,'[1]Project Management'!$B$12:$S70,9,FALSE)</f>
        <v>Victorian</v>
      </c>
      <c r="G19" s="18">
        <f>VLOOKUP($B19,'[1]Project Management'!$B$12:$S70,10,FALSE)</f>
        <v>3</v>
      </c>
      <c r="H19" s="18">
        <f>VLOOKUP($B19,'[1]Project Management'!$B$12:$S70,11,FALSE)</f>
        <v>1899</v>
      </c>
      <c r="I19" s="18" t="str">
        <f>VLOOKUP($B19,'[1]Project Management'!$B$12:$S70,13,FALSE)</f>
        <v>Complete</v>
      </c>
      <c r="J19" s="20">
        <f>VLOOKUP($B19,'[1]Project Statistics'!$B$8:$AA$27,9,FALSE)</f>
        <v>0</v>
      </c>
      <c r="K19" s="20">
        <f>VLOOKUP($B19,'[1]Project Statistics'!$B$8:$AA$27,10,FALSE)</f>
        <v>0</v>
      </c>
      <c r="L19" s="20">
        <f>VLOOKUP($B19,'[1]Project Statistics'!$B$8:$AA$27,11,FALSE)</f>
        <v>0</v>
      </c>
      <c r="M19" s="20">
        <f>VLOOKUP($B19,'[1]Project Statistics'!$B$8:$AA$27,12,FALSE)</f>
        <v>0</v>
      </c>
      <c r="N19" s="20">
        <f>VLOOKUP($B19,'[1]Project Statistics'!$B$8:$AA$27,13,FALSE)</f>
        <v>3078</v>
      </c>
      <c r="O19" s="20">
        <f>VLOOKUP($B19,'[1]Project Statistics'!$B$8:$AA$27,14,FALSE)</f>
        <v>3174</v>
      </c>
      <c r="P19" s="20">
        <f>VLOOKUP($B19,'[1]Project Statistics'!$B$8:$AA$27,15,FALSE)</f>
        <v>5794</v>
      </c>
      <c r="Q19" s="20">
        <f>VLOOKUP($B19,'[1]Project Statistics'!$B$8:$AA$27,16,FALSE)</f>
        <v>5924</v>
      </c>
      <c r="R19" s="20">
        <f>VLOOKUP($B19,'[1]Project Statistics'!$B$8:$AA$27,17,FALSE)</f>
        <v>26187</v>
      </c>
      <c r="S19" s="20">
        <f>VLOOKUP($B19,'[1]Project Statistics'!$B$8:$AA$27,18,FALSE)</f>
        <v>26187</v>
      </c>
      <c r="T19" s="20">
        <f>VLOOKUP($B19,'[1]Project Statistics'!$B$8:$AA$27,19,FALSE)</f>
        <v>1640</v>
      </c>
      <c r="U19" s="20">
        <f>VLOOKUP($B19,'[1]Project Statistics'!$B$8:$AA$27,20,FALSE)</f>
        <v>655</v>
      </c>
      <c r="V19" s="30">
        <f>T19*60*(1/R19)</f>
        <v>3.7575896437163481</v>
      </c>
      <c r="W19" s="28">
        <f t="shared" si="4"/>
        <v>1.5007446442891512</v>
      </c>
      <c r="X19" s="29">
        <f t="shared" si="0"/>
        <v>0.28305143251639625</v>
      </c>
      <c r="Y19" s="28">
        <f t="shared" si="1"/>
        <v>0.11056718433490885</v>
      </c>
      <c r="Z19" s="29">
        <f t="shared" si="2"/>
        <v>0.53281351526965559</v>
      </c>
      <c r="AA19" s="28">
        <f t="shared" si="3"/>
        <v>0.20636420919974796</v>
      </c>
      <c r="AB19" s="33" t="s">
        <v>39</v>
      </c>
      <c r="AC19" s="42" t="s">
        <v>50</v>
      </c>
      <c r="AD19" t="s">
        <v>39</v>
      </c>
      <c r="AE19" t="s">
        <v>26</v>
      </c>
      <c r="AF19" t="s">
        <v>26</v>
      </c>
      <c r="AG19" t="s">
        <v>39</v>
      </c>
      <c r="AH19" t="s">
        <v>26</v>
      </c>
      <c r="AI19" t="s">
        <v>39</v>
      </c>
      <c r="AJ19" t="s">
        <v>39</v>
      </c>
      <c r="AK19" t="s">
        <v>39</v>
      </c>
      <c r="AL19">
        <v>2011</v>
      </c>
      <c r="AM19">
        <v>2006</v>
      </c>
      <c r="AN19" t="s">
        <v>39</v>
      </c>
      <c r="AO19">
        <v>3</v>
      </c>
      <c r="AS19">
        <f>VLOOKUP($B19,'[1]Project Management'!$B$12:$V71,21,FALSE)</f>
        <v>11</v>
      </c>
    </row>
    <row r="20" spans="1:45">
      <c r="A20" s="17" t="s">
        <v>24</v>
      </c>
      <c r="B20" s="18" t="s">
        <v>38</v>
      </c>
      <c r="C20" s="19">
        <f>VLOOKUP($B20,'[1]Project Management'!$B$12:$S72,3,FALSE)</f>
        <v>1</v>
      </c>
      <c r="D20" s="19" t="str">
        <f>VLOOKUP($B20,'[1]Project Management'!$B$12:$S72,7,FALSE)</f>
        <v>Westford</v>
      </c>
      <c r="E20" s="25">
        <f>VLOOKUP($B20,'[1]Project Management'!$B$12:$S71,8,FALSE)</f>
        <v>2906</v>
      </c>
      <c r="F20" s="18" t="str">
        <f>VLOOKUP($B20,'[1]Project Management'!$B$12:$S71,9,FALSE)</f>
        <v>Colonial</v>
      </c>
      <c r="G20" s="18">
        <f>VLOOKUP($B20,'[1]Project Management'!$B$12:$S71,10,FALSE)</f>
        <v>2</v>
      </c>
      <c r="H20" s="18">
        <f>VLOOKUP($B20,'[1]Project Management'!$B$12:$S71,11,FALSE)</f>
        <v>1993</v>
      </c>
      <c r="I20" s="18" t="str">
        <f>VLOOKUP($B20,'[1]Project Management'!$B$12:$S71,13,FALSE)</f>
        <v>Complete</v>
      </c>
      <c r="J20" s="20">
        <f>VLOOKUP($B20,'[1]Project Statistics'!$B$8:$AA$27,9,FALSE)</f>
        <v>0</v>
      </c>
      <c r="K20" s="20" t="str">
        <f>VLOOKUP($B20,'[1]Project Statistics'!$B$8:$AA$27,10,FALSE)</f>
        <v>application</v>
      </c>
      <c r="L20" s="20">
        <f>VLOOKUP($B20,'[1]Project Statistics'!$B$8:$AA$27,11,FALSE)</f>
        <v>0</v>
      </c>
      <c r="M20" s="20">
        <f>VLOOKUP($B20,'[1]Project Statistics'!$B$8:$AA$27,12,FALSE)</f>
        <v>0</v>
      </c>
      <c r="N20" s="20">
        <f>VLOOKUP($B20,'[1]Project Statistics'!$B$8:$AA$27,13,FALSE)</f>
        <v>2906</v>
      </c>
      <c r="O20" s="20">
        <f>VLOOKUP($B20,'[1]Project Statistics'!$B$8:$AA$27,14,FALSE)</f>
        <v>3955</v>
      </c>
      <c r="P20" s="20">
        <f>VLOOKUP($B20,'[1]Project Statistics'!$B$8:$AA$27,15,FALSE)</f>
        <v>7325</v>
      </c>
      <c r="Q20" s="20">
        <f>VLOOKUP($B20,'[1]Project Statistics'!$B$8:$AA$27,16,FALSE)</f>
        <v>9538</v>
      </c>
      <c r="R20" s="20">
        <f>VLOOKUP($B20,'[1]Project Statistics'!$B$8:$AA$27,17,FALSE)</f>
        <v>32226</v>
      </c>
      <c r="S20" s="20">
        <v>44475</v>
      </c>
      <c r="T20" s="20">
        <f>VLOOKUP($B20,'[1]Project Statistics'!$B$8:$AA$27,19,FALSE)</f>
        <v>2592</v>
      </c>
      <c r="U20" s="20">
        <f>VLOOKUP($B20,'[1]Project Statistics'!$B$8:$AA$27,20,FALSE)</f>
        <v>930</v>
      </c>
      <c r="V20" s="30">
        <f>T20*60*(1/R20)</f>
        <v>4.8259169614596908</v>
      </c>
      <c r="W20" s="28">
        <f t="shared" si="4"/>
        <v>1.2546374367622262</v>
      </c>
      <c r="X20" s="29">
        <f t="shared" si="0"/>
        <v>0.35385665529010241</v>
      </c>
      <c r="Y20" s="34">
        <f t="shared" si="1"/>
        <v>9.7504717970224364E-2</v>
      </c>
      <c r="Z20" s="29">
        <f t="shared" si="2"/>
        <v>0.89194769442532695</v>
      </c>
      <c r="AA20" s="28">
        <f t="shared" si="3"/>
        <v>0.23514538558786346</v>
      </c>
      <c r="AB20" s="23" t="s">
        <v>39</v>
      </c>
      <c r="AC20" s="41" t="s">
        <v>50</v>
      </c>
      <c r="AD20" t="s">
        <v>39</v>
      </c>
      <c r="AE20" t="s">
        <v>26</v>
      </c>
      <c r="AF20" t="s">
        <v>26</v>
      </c>
      <c r="AG20" t="s">
        <v>39</v>
      </c>
      <c r="AH20" t="s">
        <v>26</v>
      </c>
      <c r="AI20" t="s">
        <v>26</v>
      </c>
      <c r="AJ20" t="s">
        <v>26</v>
      </c>
      <c r="AK20" t="s">
        <v>26</v>
      </c>
      <c r="AL20">
        <v>2011</v>
      </c>
      <c r="AM20">
        <v>2003</v>
      </c>
      <c r="AN20" t="s">
        <v>39</v>
      </c>
      <c r="AO20">
        <v>1</v>
      </c>
      <c r="AS20">
        <f>VLOOKUP($B20,'[1]Project Management'!$B$12:$V74,21,FALSE)</f>
        <v>12</v>
      </c>
    </row>
    <row r="21" spans="1:45">
      <c r="A21" s="17" t="s">
        <v>24</v>
      </c>
      <c r="B21" s="18" t="s">
        <v>40</v>
      </c>
      <c r="C21" s="19">
        <f>VLOOKUP($B21,'[1]Project Management'!$B$12:$S73,3,FALSE)</f>
        <v>1</v>
      </c>
      <c r="D21" s="19" t="str">
        <f>VLOOKUP($B21,'[1]Project Management'!$B$12:$S73,7,FALSE)</f>
        <v>Gloucester</v>
      </c>
      <c r="E21" s="19">
        <f>VLOOKUP($B21,'[1]Project Management'!$B$12:$S83,8,FALSE)</f>
        <v>2171</v>
      </c>
      <c r="F21" s="18" t="str">
        <f>VLOOKUP($B21,'[1]Project Management'!$B$12:$S83,9,FALSE)</f>
        <v>Single family</v>
      </c>
      <c r="G21" s="18">
        <f>VLOOKUP($B21,'[1]Project Management'!$B$12:$S83,10,FALSE)</f>
        <v>2</v>
      </c>
      <c r="H21" s="18">
        <f>VLOOKUP($B21,'[1]Project Management'!$B$12:$S83,11,FALSE)</f>
        <v>1920</v>
      </c>
      <c r="I21" s="18" t="str">
        <f>VLOOKUP($B21,'[1]Project Management'!$B$12:$S83,13,FALSE)</f>
        <v>Complete</v>
      </c>
      <c r="J21" s="20">
        <f>VLOOKUP($B21,'[1]Project Statistics'!$B$8:$AA$27,9,FALSE)</f>
        <v>0</v>
      </c>
      <c r="K21" s="20" t="str">
        <f>VLOOKUP($B21,'[1]Project Statistics'!$B$8:$AA$27,10,FALSE)</f>
        <v>application</v>
      </c>
      <c r="L21" s="20">
        <f>VLOOKUP($B21,'[1]Project Statistics'!$B$8:$AA$27,11,FALSE)</f>
        <v>0</v>
      </c>
      <c r="M21" s="20">
        <f>VLOOKUP($B21,'[1]Project Statistics'!$B$8:$AA$27,12,FALSE)</f>
        <v>0</v>
      </c>
      <c r="N21" s="20">
        <f>VLOOKUP($B21,'[1]Project Statistics'!$B$8:$AA$27,13,FALSE)</f>
        <v>2171</v>
      </c>
      <c r="O21" s="20">
        <f>VLOOKUP($B21,'[1]Project Statistics'!$B$8:$AA$27,14,FALSE)</f>
        <v>2424</v>
      </c>
      <c r="P21" s="20">
        <f>VLOOKUP($B21,'[1]Project Statistics'!$B$8:$AA$27,15,FALSE)</f>
        <v>5325</v>
      </c>
      <c r="Q21" s="20">
        <f>VLOOKUP($B21,'[1]Project Statistics'!$B$8:$AA$27,16,FALSE)</f>
        <v>6493</v>
      </c>
      <c r="R21" s="20">
        <f>VLOOKUP($B21,'[1]Project Statistics'!$B$8:$AA$27,17,FALSE)</f>
        <v>0</v>
      </c>
      <c r="S21" s="20">
        <f>VLOOKUP($B21,'[1]Project Statistics'!$B$8:$AA$27,18,FALSE)</f>
        <v>23285</v>
      </c>
      <c r="T21" s="20">
        <f>VLOOKUP($B21,'[1]Project Statistics'!$B$8:$AA$27,19,FALSE)</f>
        <v>2258</v>
      </c>
      <c r="U21" s="20">
        <f>VLOOKUP($B21,'[1]Project Statistics'!$B$8:$AA$27,20,FALSE)</f>
        <v>235</v>
      </c>
      <c r="V21" s="36" t="e">
        <f>T21*60*(1/R21)</f>
        <v>#DIV/0!</v>
      </c>
      <c r="W21" s="37">
        <f t="shared" si="4"/>
        <v>0.60554004724071286</v>
      </c>
      <c r="X21" s="39">
        <f t="shared" si="0"/>
        <v>0.42403755868544601</v>
      </c>
      <c r="Y21" s="46">
        <f t="shared" si="1"/>
        <v>3.6192823040197136E-2</v>
      </c>
      <c r="Z21" s="39">
        <f t="shared" si="2"/>
        <v>1.0400736987563335</v>
      </c>
      <c r="AA21" s="37">
        <f t="shared" si="3"/>
        <v>9.6947194719471941E-2</v>
      </c>
      <c r="AB21" s="23" t="s">
        <v>26</v>
      </c>
      <c r="AC21" s="41" t="s">
        <v>50</v>
      </c>
      <c r="AD21" t="s">
        <v>26</v>
      </c>
      <c r="AE21" t="s">
        <v>26</v>
      </c>
      <c r="AF21" t="s">
        <v>39</v>
      </c>
      <c r="AG21" t="s">
        <v>39</v>
      </c>
      <c r="AH21" t="s">
        <v>39</v>
      </c>
      <c r="AI21" t="s">
        <v>26</v>
      </c>
      <c r="AJ21" t="s">
        <v>26</v>
      </c>
      <c r="AK21" t="s">
        <v>26</v>
      </c>
      <c r="AL21">
        <v>2011</v>
      </c>
      <c r="AM21">
        <v>2010</v>
      </c>
      <c r="AN21" t="s">
        <v>26</v>
      </c>
      <c r="AO21">
        <v>1</v>
      </c>
      <c r="AS21">
        <f>VLOOKUP($B21,'[1]Project Management'!$B$12:$V84,21,FALSE)</f>
        <v>14</v>
      </c>
    </row>
    <row r="22" spans="1:45">
      <c r="W22" s="47"/>
    </row>
    <row r="24" spans="1:45">
      <c r="W24" s="47"/>
    </row>
    <row r="26" spans="1:45">
      <c r="W26" s="47"/>
    </row>
  </sheetData>
  <sortState ref="A9:AU21">
    <sortCondition ref="AS9:AS21"/>
  </sortState>
  <pageMargins left="0.7" right="0.7" top="0.75" bottom="0.75" header="0.3" footer="0.3"/>
  <legacyDrawing r:id="rId1"/>
  <extLst>
    <ext xmlns:x14="http://schemas.microsoft.com/office/spreadsheetml/2009/9/main" uri="{CCE6A557-97BC-4b89-ADB6-D9C93CAAB3DF}">
      <x14:dataValidations xmlns:xm="http://schemas.microsoft.com/office/excel/2006/main" disablePrompts="1" count="2">
        <x14:dataValidation type="list" allowBlank="1" showInputMessage="1" showErrorMessage="1">
          <x14:formula1>
            <xm:f>'[1]Project Statistics'!#REF!</xm:f>
          </x14:formula1>
          <xm:sqref>WWF9:WWF21 WMJ9:WMJ21 JT9:JT21 TP9:TP21 ADL9:ADL21 ANH9:ANH21 AXD9:AXD21 BGZ9:BGZ21 BQV9:BQV21 CAR9:CAR21 CKN9:CKN21 CUJ9:CUJ21 DEF9:DEF21 DOB9:DOB21 DXX9:DXX21 EHT9:EHT21 ERP9:ERP21 FBL9:FBL21 FLH9:FLH21 FVD9:FVD21 GEZ9:GEZ21 GOV9:GOV21 GYR9:GYR21 HIN9:HIN21 HSJ9:HSJ21 ICF9:ICF21 IMB9:IMB21 IVX9:IVX21 JFT9:JFT21 JPP9:JPP21 JZL9:JZL21 KJH9:KJH21 KTD9:KTD21 LCZ9:LCZ21 LMV9:LMV21 LWR9:LWR21 MGN9:MGN21 MQJ9:MQJ21 NAF9:NAF21 NKB9:NKB21 NTX9:NTX21 ODT9:ODT21 ONP9:ONP21 OXL9:OXL21 PHH9:PHH21 PRD9:PRD21 QAZ9:QAZ21 QKV9:QKV21 QUR9:QUR21 REN9:REN21 ROJ9:ROJ21 RYF9:RYF21 SIB9:SIB21 SRX9:SRX21 TBT9:TBT21 TLP9:TLP21 TVL9:TVL21 UFH9:UFH21 UPD9:UPD21 UYZ9:UYZ21 VIV9:VIV21 VSR9:VSR21 WCN9:WCN21</xm:sqref>
        </x14:dataValidation>
        <x14:dataValidation type="list" allowBlank="1" showInputMessage="1" showErrorMessage="1">
          <x14:formula1>
            <xm:f>'[1]Project Statistics'!#REF!</xm:f>
          </x14:formula1>
          <xm:sqref>WWG9:WWH21 WMK9:WML21 JU9:JV21 TQ9:TR21 ADM9:ADN21 ANI9:ANJ21 AXE9:AXF21 BHA9:BHB21 BQW9:BQX21 CAS9:CAT21 CKO9:CKP21 CUK9:CUL21 DEG9:DEH21 DOC9:DOD21 DXY9:DXZ21 EHU9:EHV21 ERQ9:ERR21 FBM9:FBN21 FLI9:FLJ21 FVE9:FVF21 GFA9:GFB21 GOW9:GOX21 GYS9:GYT21 HIO9:HIP21 HSK9:HSL21 ICG9:ICH21 IMC9:IMD21 IVY9:IVZ21 JFU9:JFV21 JPQ9:JPR21 JZM9:JZN21 KJI9:KJJ21 KTE9:KTF21 LDA9:LDB21 LMW9:LMX21 LWS9:LWT21 MGO9:MGP21 MQK9:MQL21 NAG9:NAH21 NKC9:NKD21 NTY9:NTZ21 ODU9:ODV21 ONQ9:ONR21 OXM9:OXN21 PHI9:PHJ21 PRE9:PRF21 QBA9:QBB21 QKW9:QKX21 QUS9:QUT21 REO9:REP21 ROK9:ROL21 RYG9:RYH21 SIC9:SID21 SRY9:SRZ21 TBU9:TBV21 TLQ9:TLR21 TVM9:TVN21 UFI9:UFJ21 UPE9:UPF21 UZA9:UZB21 VIW9:VIX21 VSS9:VST21 WCO9:WCP21</xm:sqref>
        </x14:dataValidation>
      </x14:dataValidations>
    </ex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8.83203125" defaultRowHeight="14" x14ac:dyDescent="0"/>
  <sheetData/>
  <pageMargins left="0.7" right="0.7" top="0.75" bottom="0.75" header="0.3" footer="0.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7:AB29"/>
  <sheetViews>
    <sheetView topLeftCell="B62" zoomScale="110" zoomScaleNormal="110" zoomScalePageLayoutView="110" workbookViewId="0">
      <pane xSplit="1" topLeftCell="E1" activePane="topRight" state="frozen"/>
      <selection activeCell="B1" sqref="B1"/>
      <selection pane="topRight" activeCell="M89" sqref="M89"/>
    </sheetView>
  </sheetViews>
  <sheetFormatPr baseColWidth="10" defaultColWidth="8.83203125" defaultRowHeight="14" x14ac:dyDescent="0"/>
  <cols>
    <col min="2" max="2" width="11.6640625" customWidth="1"/>
    <col min="3" max="3" width="8.6640625" customWidth="1"/>
    <col min="4" max="4" width="12.6640625" customWidth="1"/>
    <col min="6" max="6" width="11.5" customWidth="1"/>
    <col min="9" max="9" width="12.5" customWidth="1"/>
    <col min="11" max="11" width="12.5" customWidth="1"/>
    <col min="22" max="22" width="11.5" bestFit="1" customWidth="1"/>
  </cols>
  <sheetData>
    <row r="7" spans="1:28" ht="71" thickBot="1">
      <c r="B7" s="1" t="s">
        <v>0</v>
      </c>
      <c r="C7" s="18" t="str">
        <f>VLOOKUP($B7,'BaseLine Data'!$B7:$AS21,2,FALSE)</f>
        <v>Number of Housing Units</v>
      </c>
      <c r="D7" s="18" t="str">
        <f>VLOOKUP($B7,'BaseLine Data'!$B7:$AS21,3,FALSE)</f>
        <v>Location</v>
      </c>
      <c r="E7" s="18" t="str">
        <f>VLOOKUP($B7,'BaseLine Data'!$B7:$AS21,4,FALSE)</f>
        <v>Pre-DER Cond. Floor Area_x000D_(sq.ft.)</v>
      </c>
      <c r="F7" s="18" t="str">
        <f>VLOOKUP($B7,'BaseLine Data'!$B7:$AS21,5,FALSE)</f>
        <v>Building Type</v>
      </c>
      <c r="G7" s="18" t="str">
        <f>VLOOKUP($B7,'BaseLine Data'!$B7:$AS21,6,FALSE)</f>
        <v>Stories</v>
      </c>
      <c r="H7" s="18" t="str">
        <f>VLOOKUP($B7,'BaseLine Data'!$B7:$AS21,7,FALSE)</f>
        <v>Approx. Year Built</v>
      </c>
      <c r="I7" s="18" t="str">
        <f>VLOOKUP($B7,'BaseLine Data'!$B7:$AS21,8,FALSE)</f>
        <v>Status</v>
      </c>
      <c r="J7" s="18" t="str">
        <f>VLOOKUP($B7,'BaseLine Data'!$B7:$AS21,9,FALSE)</f>
        <v>Double checked numbers? (Y/N)</v>
      </c>
      <c r="K7" s="18" t="str">
        <f>VLOOKUP($B7,'BaseLine Data'!$B7:$AS21,10,FALSE)</f>
        <v>Source for Geometry Data</v>
      </c>
      <c r="L7" s="18" t="str">
        <f>VLOOKUP($B7,'BaseLine Data'!$B7:$AS21,11,FALSE)</f>
        <v>Pre-Retrofit Basement</v>
      </c>
      <c r="M7" s="18" t="str">
        <f>VLOOKUP($B7,'BaseLine Data'!$B7:$AS21,12,FALSE)</f>
        <v>Post Retrofit Basement</v>
      </c>
      <c r="N7" s="18" t="str">
        <f>VLOOKUP($B7,'BaseLine Data'!$B7:$AS21,13,FALSE)</f>
        <v>Pre-DER Cond. Floor Area_x000D_(sq.ft.)</v>
      </c>
      <c r="O7" s="18" t="str">
        <f>VLOOKUP($B7,'BaseLine Data'!$B7:$AS21,14,FALSE)</f>
        <v>Post-DER Con. Floor Area        (sq.ft.)</v>
      </c>
      <c r="P7" s="18" t="str">
        <f>VLOOKUP($B7,'BaseLine Data'!$B7:$AS21,15,FALSE)</f>
        <v>Pre-DER Enclosure Area (sf)</v>
      </c>
      <c r="Q7" s="18" t="str">
        <f>VLOOKUP($B7,'BaseLine Data'!$B7:$AS21,16,FALSE)</f>
        <v>Post-DER Enclosure Area (sf)</v>
      </c>
      <c r="R7" s="18" t="str">
        <f>VLOOKUP($B7,'BaseLine Data'!$B7:$AS21,17,FALSE)</f>
        <v>Pre-DER Volume (ft3)</v>
      </c>
      <c r="S7" s="18" t="str">
        <f>VLOOKUP($B7,'BaseLine Data'!$B7:$AS21,18,FALSE)</f>
        <v>Post-DER Volume (ft3)</v>
      </c>
      <c r="T7" s="18" t="str">
        <f>VLOOKUP($B7,'BaseLine Data'!$B7:$AS21,19,FALSE)</f>
        <v>Pre-DER   CFM 50</v>
      </c>
      <c r="U7" s="18" t="str">
        <f>VLOOKUP($B7,'BaseLine Data'!$B7:$AS21,20,FALSE)</f>
        <v>Post-DER CFM 50</v>
      </c>
      <c r="V7" s="18" t="str">
        <f>VLOOKUP($B7,'BaseLine Data'!$B7:$AS21,21,FALSE)</f>
        <v xml:space="preserve">Pre-DER   ACH 50 </v>
      </c>
      <c r="W7" s="18" t="str">
        <f>VLOOKUP($B7,'BaseLine Data'!$B7:$AS21,22,FALSE)</f>
        <v xml:space="preserve">Post-DER ACH 50 </v>
      </c>
      <c r="X7" s="18" t="str">
        <f>VLOOKUP($B7,'BaseLine Data'!$B7:$AS21,23,FALSE)</f>
        <v>Pre-DER   CFM 50 per Sq.Ft. of Enclosure</v>
      </c>
      <c r="Y7" s="18" t="str">
        <f>VLOOKUP($B7,'BaseLine Data'!$B7:$AS21,24,FALSE)</f>
        <v>Post-DER CFM 50 per Sq. Ft. of Enclosure</v>
      </c>
      <c r="Z7" s="18" t="str">
        <f>VLOOKUP($B7,'BaseLine Data'!$B7:$AS21,25,FALSE)</f>
        <v>Pre-DER CFM/sf Conditioned floor area</v>
      </c>
      <c r="AA7" s="18" t="str">
        <f>VLOOKUP($B7,'BaseLine Data'!$B7:$AS21,26,FALSE)</f>
        <v>Post-DER CFM/sf Conditioned floor area</v>
      </c>
      <c r="AB7" s="52" t="str">
        <f>VLOOKUP($B7,'BaseLine Data'!$B7:$AS21,44,FALSE)</f>
        <v>Sort Order</v>
      </c>
    </row>
    <row r="8" spans="1:28" ht="52">
      <c r="A8" s="9"/>
      <c r="B8" s="10" t="s">
        <v>23</v>
      </c>
      <c r="C8" s="11"/>
      <c r="D8" s="11"/>
      <c r="E8" s="11"/>
      <c r="F8" s="11"/>
      <c r="G8" s="11"/>
      <c r="H8" s="11"/>
      <c r="I8" s="11"/>
      <c r="J8" s="11"/>
      <c r="K8" s="11"/>
      <c r="L8" s="11"/>
      <c r="M8" s="11"/>
      <c r="N8" s="12"/>
      <c r="O8" s="13"/>
      <c r="P8" s="12"/>
      <c r="Q8" s="13"/>
      <c r="R8" s="12"/>
      <c r="S8" s="14"/>
      <c r="T8" s="15"/>
      <c r="U8" s="15"/>
      <c r="V8" s="16"/>
      <c r="W8" s="14"/>
      <c r="X8" s="15"/>
      <c r="Y8" s="14"/>
      <c r="Z8" s="15"/>
      <c r="AA8" s="14"/>
      <c r="AB8" s="53"/>
    </row>
    <row r="9" spans="1:28">
      <c r="A9" s="17" t="s">
        <v>24</v>
      </c>
      <c r="B9" s="18" t="s">
        <v>25</v>
      </c>
      <c r="C9" s="18">
        <f>VLOOKUP($B9,'BaseLine Data'!$B9:$AS21,2,FALSE)</f>
        <v>1</v>
      </c>
      <c r="D9" s="18" t="str">
        <f>VLOOKUP($B9,'BaseLine Data'!$B9:$AS21,3,FALSE)</f>
        <v>Belchertown</v>
      </c>
      <c r="E9" s="18">
        <f>VLOOKUP($B9,'BaseLine Data'!$B9:$AS21,4,FALSE)</f>
        <v>1352</v>
      </c>
      <c r="F9" s="18" t="str">
        <f>VLOOKUP($B9,'BaseLine Data'!$B9:$AS21,5,FALSE)</f>
        <v>Cape</v>
      </c>
      <c r="G9" s="18">
        <f>VLOOKUP($B9,'BaseLine Data'!$B9:$AS21,6,FALSE)</f>
        <v>1.5</v>
      </c>
      <c r="H9" s="18">
        <f>VLOOKUP($B9,'BaseLine Data'!$B9:$AS21,7,FALSE)</f>
        <v>1760</v>
      </c>
      <c r="I9" s="18" t="str">
        <f>VLOOKUP($B9,'BaseLine Data'!$B9:$AS21,8,FALSE)</f>
        <v>Complete</v>
      </c>
      <c r="J9" s="18" t="str">
        <f>VLOOKUP($B9,'BaseLine Data'!$B9:$AS21,9,FALSE)</f>
        <v>Y</v>
      </c>
      <c r="K9" s="18" t="str">
        <f>VLOOKUP($B9,'BaseLine Data'!$B9:$AS21,10,FALSE)</f>
        <v>W.A.G.</v>
      </c>
      <c r="L9" s="18" t="str">
        <f>VLOOKUP($B9,'BaseLine Data'!$B9:$AS21,11,FALSE)</f>
        <v>Excluded</v>
      </c>
      <c r="M9" s="18" t="str">
        <f>VLOOKUP($B9,'BaseLine Data'!$B9:$AS21,12,FALSE)</f>
        <v>Included</v>
      </c>
      <c r="N9" s="18">
        <f>VLOOKUP($B9,'BaseLine Data'!$B9:$AS21,13,FALSE)</f>
        <v>1435</v>
      </c>
      <c r="O9" s="18">
        <f>VLOOKUP($B9,'BaseLine Data'!$B9:$AS21,14,FALSE)</f>
        <v>1907</v>
      </c>
      <c r="P9" s="18">
        <f>VLOOKUP($B9,'BaseLine Data'!$B9:$AS21,15,FALSE)</f>
        <v>3726</v>
      </c>
      <c r="Q9" s="18">
        <f>VLOOKUP($B9,'BaseLine Data'!$B9:$AS21,16,FALSE)</f>
        <v>4066</v>
      </c>
      <c r="R9" s="18">
        <f>VLOOKUP($B9,'BaseLine Data'!$B9:$AS21,17,FALSE)</f>
        <v>9448</v>
      </c>
      <c r="S9" s="18">
        <f>VLOOKUP($B9,'BaseLine Data'!$B9:$AS21,18,FALSE)</f>
        <v>14972</v>
      </c>
      <c r="T9" s="18">
        <f>VLOOKUP($B9,'BaseLine Data'!$B9:$AS21,19,FALSE)</f>
        <v>9079</v>
      </c>
      <c r="U9" s="18">
        <f>VLOOKUP($B9,'BaseLine Data'!$B9:$AS21,20,FALSE)</f>
        <v>468</v>
      </c>
      <c r="V9" s="30">
        <f t="shared" ref="V9:W12" si="0">T9*60*(1/R9)</f>
        <v>57.656646909398809</v>
      </c>
      <c r="W9" s="30">
        <f t="shared" si="0"/>
        <v>1.8755009350788139</v>
      </c>
      <c r="X9" s="21">
        <f t="shared" ref="X9:X21" si="1">T9/P9</f>
        <v>2.4366612989801397</v>
      </c>
      <c r="Y9" s="22">
        <f t="shared" ref="Y9:Y21" si="2">U9/Q9</f>
        <v>0.11510083620265617</v>
      </c>
      <c r="Z9" s="21">
        <f t="shared" ref="Z9:Z21" si="3">T9/N9</f>
        <v>6.3268292682926832</v>
      </c>
      <c r="AA9" s="22">
        <f t="shared" ref="AA9:AA21" si="4">U9/O9</f>
        <v>0.2454116413214473</v>
      </c>
      <c r="AB9" s="52">
        <f>VLOOKUP($B9,'BaseLine Data'!$B9:$AS21,44,FALSE)</f>
        <v>1</v>
      </c>
    </row>
    <row r="10" spans="1:28" ht="28">
      <c r="A10" s="17" t="s">
        <v>24</v>
      </c>
      <c r="B10" s="24" t="s">
        <v>27</v>
      </c>
      <c r="C10" s="18">
        <f>VLOOKUP($B10,'BaseLine Data'!$B9:$AS21,2,FALSE)</f>
        <v>2</v>
      </c>
      <c r="D10" s="18" t="str">
        <f>VLOOKUP($B10,'BaseLine Data'!$B9:$AS21,3,FALSE)</f>
        <v>Belmont</v>
      </c>
      <c r="E10" s="18">
        <f>VLOOKUP($B10,'BaseLine Data'!$B9:$AS21,4,FALSE)</f>
        <v>2728</v>
      </c>
      <c r="F10" s="18" t="str">
        <f>VLOOKUP($B10,'BaseLine Data'!$B9:$AS21,5,FALSE)</f>
        <v>2 family</v>
      </c>
      <c r="G10" s="18">
        <f>VLOOKUP($B10,'BaseLine Data'!$B9:$AS21,6,FALSE)</f>
        <v>3</v>
      </c>
      <c r="H10" s="18">
        <f>VLOOKUP($B10,'BaseLine Data'!$B9:$AS21,7,FALSE)</f>
        <v>1925</v>
      </c>
      <c r="I10" s="18" t="str">
        <f>VLOOKUP($B10,'BaseLine Data'!$B9:$AS21,8,FALSE)</f>
        <v>Complete</v>
      </c>
      <c r="J10" s="18" t="str">
        <f>VLOOKUP($B10,'BaseLine Data'!$B9:$AS21,9,FALSE)</f>
        <v>Y</v>
      </c>
      <c r="K10" s="18">
        <f>VLOOKUP($B10,'BaseLine Data'!$B9:$AS21,10,FALSE)</f>
        <v>0</v>
      </c>
      <c r="L10" s="18" t="str">
        <f>VLOOKUP($B10,'BaseLine Data'!$B9:$AS21,11,FALSE)</f>
        <v>Excluded</v>
      </c>
      <c r="M10" s="18" t="str">
        <f>VLOOKUP($B10,'BaseLine Data'!$B9:$AS21,12,FALSE)</f>
        <v>Included</v>
      </c>
      <c r="N10" s="18">
        <f>VLOOKUP($B10,'BaseLine Data'!$B9:$AS21,13,FALSE)</f>
        <v>3417</v>
      </c>
      <c r="O10" s="18">
        <f>VLOOKUP($B10,'BaseLine Data'!$B9:$AS21,14,FALSE)</f>
        <v>4768</v>
      </c>
      <c r="P10" s="18">
        <f>VLOOKUP($B10,'BaseLine Data'!$B9:$AS21,15,FALSE)</f>
        <v>7468</v>
      </c>
      <c r="Q10" s="18">
        <f>VLOOKUP($B10,'BaseLine Data'!$B9:$AS21,16,FALSE)</f>
        <v>9093</v>
      </c>
      <c r="R10" s="18">
        <f>VLOOKUP($B10,'BaseLine Data'!$B9:$AS21,17,FALSE)</f>
        <v>36898</v>
      </c>
      <c r="S10" s="18">
        <f>VLOOKUP($B10,'BaseLine Data'!$B9:$AS21,18,FALSE)</f>
        <v>47706</v>
      </c>
      <c r="T10" s="18">
        <f>VLOOKUP($B10,'BaseLine Data'!$B9:$AS21,19,FALSE)</f>
        <v>5700</v>
      </c>
      <c r="U10" s="18">
        <f>VLOOKUP($B10,'BaseLine Data'!$B9:$AS21,20,FALSE)</f>
        <v>590</v>
      </c>
      <c r="V10" s="30">
        <f t="shared" si="0"/>
        <v>9.2687950566426363</v>
      </c>
      <c r="W10" s="30">
        <f t="shared" si="0"/>
        <v>0.74204502578292031</v>
      </c>
      <c r="X10" s="21">
        <f t="shared" si="1"/>
        <v>0.76325656132833419</v>
      </c>
      <c r="Y10" s="22">
        <f t="shared" si="2"/>
        <v>6.4885076432420544E-2</v>
      </c>
      <c r="Z10" s="21">
        <f t="shared" si="3"/>
        <v>1.6681299385425812</v>
      </c>
      <c r="AA10" s="22">
        <f t="shared" si="4"/>
        <v>0.12374161073825503</v>
      </c>
      <c r="AB10" s="52">
        <f>VLOOKUP($B10,'BaseLine Data'!$B9:$AS21,44,FALSE)</f>
        <v>2</v>
      </c>
    </row>
    <row r="11" spans="1:28">
      <c r="A11" s="17" t="s">
        <v>24</v>
      </c>
      <c r="B11" s="18" t="s">
        <v>28</v>
      </c>
      <c r="C11" s="18">
        <f>VLOOKUP($B11,'BaseLine Data'!$B9:$AS21,2,FALSE)</f>
        <v>1</v>
      </c>
      <c r="D11" s="18" t="str">
        <f>VLOOKUP($B11,'BaseLine Data'!$B9:$AS21,3,FALSE)</f>
        <v>Millbury</v>
      </c>
      <c r="E11" s="18">
        <f>VLOOKUP($B11,'BaseLine Data'!$B9:$AS21,4,FALSE)</f>
        <v>1100</v>
      </c>
      <c r="F11" s="18">
        <f>VLOOKUP($B11,'BaseLine Data'!$B9:$AS21,4,FALSE)</f>
        <v>1100</v>
      </c>
      <c r="G11" s="18">
        <f>VLOOKUP($B11,'BaseLine Data'!$B9:$AS21,6,FALSE)</f>
        <v>1.5</v>
      </c>
      <c r="H11" s="18">
        <f>VLOOKUP($B11,'BaseLine Data'!$B9:$AS21,7,FALSE)</f>
        <v>1953</v>
      </c>
      <c r="I11" s="18" t="str">
        <f>VLOOKUP($B11,'BaseLine Data'!$B9:$AS21,8,FALSE)</f>
        <v>Complete</v>
      </c>
      <c r="J11" s="18" t="str">
        <f>VLOOKUP($B11,'BaseLine Data'!$B9:$AS21,9,FALSE)</f>
        <v>?</v>
      </c>
      <c r="K11" s="18">
        <f>VLOOKUP($B11,'BaseLine Data'!$B9:$AS21,10,FALSE)</f>
        <v>0</v>
      </c>
      <c r="L11" s="18" t="str">
        <f>VLOOKUP($B11,'BaseLine Data'!$B9:$AS21,11,FALSE)</f>
        <v>Included</v>
      </c>
      <c r="M11" s="18" t="str">
        <f>VLOOKUP($B11,'BaseLine Data'!$B9:$AS21,12,FALSE)</f>
        <v>Included</v>
      </c>
      <c r="N11" s="18">
        <f>VLOOKUP($B11,'BaseLine Data'!$B9:$AS21,13,FALSE)</f>
        <v>1868</v>
      </c>
      <c r="O11" s="18">
        <f>VLOOKUP($B11,'BaseLine Data'!$B9:$AS21,14,FALSE)</f>
        <v>1868</v>
      </c>
      <c r="P11" s="18">
        <f>VLOOKUP($B11,'BaseLine Data'!$B9:$AS21,15,FALSE)</f>
        <v>4278</v>
      </c>
      <c r="Q11" s="18">
        <f>VLOOKUP($B11,'BaseLine Data'!$B9:$AS21,16,FALSE)</f>
        <v>4278</v>
      </c>
      <c r="R11" s="18">
        <f>VLOOKUP($B11,'BaseLine Data'!$B9:$AS21,17,FALSE)</f>
        <v>17000</v>
      </c>
      <c r="S11" s="18">
        <f>VLOOKUP($B11,'BaseLine Data'!$B9:$AS21,18,FALSE)</f>
        <v>17000</v>
      </c>
      <c r="T11" s="18">
        <f>VLOOKUP($B11,'BaseLine Data'!$B9:$AS21,19,FALSE)</f>
        <v>2860</v>
      </c>
      <c r="U11" s="18">
        <f>VLOOKUP($B11,'BaseLine Data'!$B9:$AS21,20,FALSE)</f>
        <v>402</v>
      </c>
      <c r="V11" s="30">
        <f t="shared" si="0"/>
        <v>10.094117647058823</v>
      </c>
      <c r="W11" s="28">
        <f t="shared" si="0"/>
        <v>1.4188235294117648</v>
      </c>
      <c r="X11" s="29">
        <f t="shared" si="1"/>
        <v>0.66853669939223936</v>
      </c>
      <c r="Y11" s="28">
        <f t="shared" si="2"/>
        <v>9.3969144460028048E-2</v>
      </c>
      <c r="Z11" s="29">
        <f t="shared" si="3"/>
        <v>1.5310492505353319</v>
      </c>
      <c r="AA11" s="28">
        <f t="shared" si="4"/>
        <v>0.21520342612419699</v>
      </c>
      <c r="AB11" s="52">
        <f>VLOOKUP($B11,'BaseLine Data'!$B9:$AS21,44,FALSE)</f>
        <v>3</v>
      </c>
    </row>
    <row r="12" spans="1:28" ht="28">
      <c r="A12" s="17" t="s">
        <v>24</v>
      </c>
      <c r="B12" s="18" t="s">
        <v>29</v>
      </c>
      <c r="C12" s="18">
        <f>VLOOKUP($B12,'BaseLine Data'!$B9:$AS21,2,FALSE)</f>
        <v>1</v>
      </c>
      <c r="D12" s="18" t="str">
        <f>VLOOKUP($B12,'BaseLine Data'!$B9:$AS21,3,FALSE)</f>
        <v>Milton</v>
      </c>
      <c r="E12" s="18">
        <f>VLOOKUP($B12,'BaseLine Data'!$B9:$AS21,4,FALSE)</f>
        <v>1600</v>
      </c>
      <c r="F12" s="18" t="str">
        <f>VLOOKUP($B12,'BaseLine Data'!$B9:$AS21,5,FALSE)</f>
        <v>Garrison Colonial</v>
      </c>
      <c r="G12" s="18">
        <f>VLOOKUP($B12,'BaseLine Data'!$B9:$AS21,6,FALSE)</f>
        <v>2</v>
      </c>
      <c r="H12" s="18">
        <f>VLOOKUP($B12,'BaseLine Data'!$B9:$AS21,7,FALSE)</f>
        <v>1960</v>
      </c>
      <c r="I12" s="18" t="str">
        <f>VLOOKUP($B12,'BaseLine Data'!$B9:$AS21,8,FALSE)</f>
        <v>Complete</v>
      </c>
      <c r="J12" s="18" t="str">
        <f>VLOOKUP($B12,'BaseLine Data'!$B9:$AS21,9,FALSE)</f>
        <v>Y</v>
      </c>
      <c r="K12" s="18" t="str">
        <f>VLOOKUP($B12,'BaseLine Data'!$B9:$AS21,10,FALSE)</f>
        <v>take-off from drawings</v>
      </c>
      <c r="L12" s="18" t="str">
        <f>VLOOKUP($B12,'BaseLine Data'!$B9:$AS21,11,FALSE)</f>
        <v>Included</v>
      </c>
      <c r="M12" s="18" t="str">
        <f>VLOOKUP($B12,'BaseLine Data'!$B9:$AS21,12,FALSE)</f>
        <v>Included</v>
      </c>
      <c r="N12" s="18">
        <f>VLOOKUP($B12,'BaseLine Data'!$B9:$AS21,13,FALSE)</f>
        <v>2368</v>
      </c>
      <c r="O12" s="18">
        <f>VLOOKUP($B12,'BaseLine Data'!$B9:$AS21,14,FALSE)</f>
        <v>2368</v>
      </c>
      <c r="P12" s="18">
        <f>VLOOKUP($B12,'BaseLine Data'!$B9:$AS21,15,FALSE)</f>
        <v>3408</v>
      </c>
      <c r="Q12" s="18">
        <f>VLOOKUP($B12,'BaseLine Data'!$B9:$AS21,16,FALSE)</f>
        <v>3740</v>
      </c>
      <c r="R12" s="18">
        <f>VLOOKUP($B12,'BaseLine Data'!$B9:$AS21,17,FALSE)</f>
        <v>22457.599999999999</v>
      </c>
      <c r="S12" s="18">
        <f>VLOOKUP($B12,'BaseLine Data'!$B9:$AS21,18,FALSE)</f>
        <v>24457.599999999999</v>
      </c>
      <c r="T12" s="18">
        <f>VLOOKUP($B12,'BaseLine Data'!$B9:$AS21,19,FALSE)</f>
        <v>1695</v>
      </c>
      <c r="U12" s="18">
        <f>VLOOKUP($B12,'BaseLine Data'!$B9:$AS21,20,FALSE)</f>
        <v>584</v>
      </c>
      <c r="V12" s="30">
        <f t="shared" si="0"/>
        <v>4.5285337703049304</v>
      </c>
      <c r="W12" s="28">
        <f t="shared" si="0"/>
        <v>1.4326835012429675</v>
      </c>
      <c r="X12" s="29">
        <f t="shared" si="1"/>
        <v>0.49735915492957744</v>
      </c>
      <c r="Y12" s="28">
        <f t="shared" si="2"/>
        <v>0.15614973262032086</v>
      </c>
      <c r="Z12" s="29">
        <f t="shared" si="3"/>
        <v>0.71579391891891897</v>
      </c>
      <c r="AA12" s="28">
        <f t="shared" si="4"/>
        <v>0.24662162162162163</v>
      </c>
      <c r="AB12" s="52">
        <f>VLOOKUP($B12,'BaseLine Data'!$B9:$AS21,44,FALSE)</f>
        <v>4</v>
      </c>
    </row>
    <row r="13" spans="1:28" ht="28">
      <c r="A13" s="17" t="s">
        <v>24</v>
      </c>
      <c r="B13" s="18" t="s">
        <v>30</v>
      </c>
      <c r="C13" s="18">
        <f>VLOOKUP($B13,'BaseLine Data'!$B9:$AS21,2,FALSE)</f>
        <v>1</v>
      </c>
      <c r="D13" s="18" t="str">
        <f>VLOOKUP($B13,'BaseLine Data'!$B9:$AT21,3,FALSE)</f>
        <v>Quincy</v>
      </c>
      <c r="E13" s="18">
        <f>VLOOKUP($B13,'BaseLine Data'!$B9:$AT21,4,FALSE)</f>
        <v>1808</v>
      </c>
      <c r="F13" s="18" t="str">
        <f>VLOOKUP($B13,'BaseLine Data'!$B9:$AT21,5,FALSE)</f>
        <v>bungalow</v>
      </c>
      <c r="G13" s="18">
        <f>VLOOKUP($B13,'BaseLine Data'!$B9:$AT21,6,FALSE)</f>
        <v>1.5</v>
      </c>
      <c r="H13" s="18">
        <f>VLOOKUP($B13,'BaseLine Data'!$B9:$AT21,7,FALSE)</f>
        <v>1905</v>
      </c>
      <c r="I13" s="18" t="str">
        <f>VLOOKUP($B13,'BaseLine Data'!$B9:$AT21,8,FALSE)</f>
        <v>Complete</v>
      </c>
      <c r="J13" s="18" t="str">
        <f>VLOOKUP($B13,'BaseLine Data'!$B9:$AT21,9,FALSE)</f>
        <v>Y</v>
      </c>
      <c r="K13" s="18" t="str">
        <f>VLOOKUP($B13,'BaseLine Data'!$B9:$AT21,10,FALSE)</f>
        <v>take-off from model</v>
      </c>
      <c r="L13" s="18" t="str">
        <f>VLOOKUP($B13,'BaseLine Data'!$B9:$AT21,11,FALSE)</f>
        <v>Included</v>
      </c>
      <c r="M13" s="18" t="str">
        <f>VLOOKUP($B13,'BaseLine Data'!$B9:$AT21,12,FALSE)</f>
        <v>Included</v>
      </c>
      <c r="N13" s="18">
        <f>VLOOKUP($B13,'BaseLine Data'!$B9:$AT21,13,FALSE)</f>
        <v>3484</v>
      </c>
      <c r="O13" s="18">
        <f>VLOOKUP($B13,'BaseLine Data'!$B9:$AT21,14,FALSE)</f>
        <v>4576</v>
      </c>
      <c r="P13" s="18">
        <f>VLOOKUP($B13,'BaseLine Data'!$B9:$AT21,15,FALSE)</f>
        <v>5340</v>
      </c>
      <c r="Q13" s="18">
        <f>VLOOKUP($B13,'BaseLine Data'!$B9:$AT21,16,FALSE)</f>
        <v>6806</v>
      </c>
      <c r="R13" s="18">
        <f>VLOOKUP($B13,'BaseLine Data'!$B9:$AT21,17,FALSE)</f>
        <v>16350</v>
      </c>
      <c r="S13" s="18">
        <f>VLOOKUP($B13,'BaseLine Data'!$B9:$AS21,18,FALSE)</f>
        <v>36346</v>
      </c>
      <c r="T13" s="18">
        <f>VLOOKUP($B13,'BaseLine Data'!$B9:$AS21,19,FALSE)</f>
        <v>5050</v>
      </c>
      <c r="U13" s="18">
        <f>VLOOKUP($B13,'BaseLine Data'!$B9:$AS21,20,FALSE)</f>
        <v>762</v>
      </c>
      <c r="V13" s="26">
        <v>18.53</v>
      </c>
      <c r="W13" s="28">
        <f t="shared" ref="W13:W21" si="5">U13*60*(1/S13)</f>
        <v>1.2579100863919002</v>
      </c>
      <c r="X13" s="29">
        <f t="shared" si="1"/>
        <v>0.94569288389513106</v>
      </c>
      <c r="Y13" s="28">
        <f t="shared" si="2"/>
        <v>0.11196003526300323</v>
      </c>
      <c r="Z13" s="29">
        <f t="shared" si="3"/>
        <v>1.4494833524684272</v>
      </c>
      <c r="AA13" s="28">
        <f t="shared" si="4"/>
        <v>0.16652097902097901</v>
      </c>
      <c r="AB13" s="52">
        <f>VLOOKUP($B13,'BaseLine Data'!$B9:$AS21,44,FALSE)</f>
        <v>5</v>
      </c>
    </row>
    <row r="14" spans="1:28" ht="28">
      <c r="A14" s="17" t="s">
        <v>24</v>
      </c>
      <c r="B14" s="18" t="s">
        <v>31</v>
      </c>
      <c r="C14" s="18">
        <f>VLOOKUP($B14,'BaseLine Data'!$B9:$AS21,2,FALSE)</f>
        <v>2</v>
      </c>
      <c r="D14" s="18" t="str">
        <f>VLOOKUP($B14,'BaseLine Data'!$B9:$AS21,3,FALSE)</f>
        <v>Arlington</v>
      </c>
      <c r="E14" s="18">
        <f>VLOOKUP($B14,'BaseLine Data'!$B9:$AS21,4,FALSE)</f>
        <v>2112</v>
      </c>
      <c r="F14" s="18" t="str">
        <f>VLOOKUP($B14,'BaseLine Data'!$B9:$AS21,5,FALSE)</f>
        <v>2 family</v>
      </c>
      <c r="G14" s="18">
        <f>VLOOKUP($B14,'BaseLine Data'!$B9:$AS21,6,FALSE)</f>
        <v>2</v>
      </c>
      <c r="H14" s="18">
        <f>VLOOKUP($B14,'BaseLine Data'!$B9:$AS21,7,FALSE)</f>
        <v>1910</v>
      </c>
      <c r="I14" s="18" t="str">
        <f>VLOOKUP($B14,'BaseLine Data'!$B9:$AS21,8,FALSE)</f>
        <v>Complete</v>
      </c>
      <c r="J14" s="18">
        <f>VLOOKUP($B14,'BaseLine Data'!$B9:$AS21,9,FALSE)</f>
        <v>0</v>
      </c>
      <c r="K14" s="18" t="str">
        <f>VLOOKUP($B14,'BaseLine Data'!$B9:$AS21,10,FALSE)</f>
        <v>take-off from drawings</v>
      </c>
      <c r="L14" s="18" t="str">
        <f>VLOOKUP($B14,'BaseLine Data'!$B9:$AS21,11,FALSE)</f>
        <v>Excluded</v>
      </c>
      <c r="M14" s="18" t="str">
        <f>VLOOKUP($B14,'BaseLine Data'!$B9:$AS21,12,FALSE)</f>
        <v>Excluded</v>
      </c>
      <c r="N14" s="18">
        <f>VLOOKUP($B14,'BaseLine Data'!$B9:$AS21,13,FALSE)</f>
        <v>2502</v>
      </c>
      <c r="O14" s="18">
        <f>VLOOKUP($B14,'BaseLine Data'!$B9:$AS21,14,FALSE)</f>
        <v>3627</v>
      </c>
      <c r="P14" s="18">
        <f>VLOOKUP($B14,'BaseLine Data'!$B9:$AS21,15,FALSE)</f>
        <v>5153</v>
      </c>
      <c r="Q14" s="18">
        <f>VLOOKUP($B14,'BaseLine Data'!$B9:$AS21,16,FALSE)</f>
        <v>5925</v>
      </c>
      <c r="R14" s="18">
        <f>VLOOKUP($B14,'BaseLine Data'!$B9:$AS21,17,FALSE)</f>
        <v>20157</v>
      </c>
      <c r="S14" s="18">
        <f>VLOOKUP($B14,'BaseLine Data'!$B9:$AS21,18,FALSE)</f>
        <v>29648</v>
      </c>
      <c r="T14" s="18">
        <f>VLOOKUP($B14,'BaseLine Data'!$B9:$AS21,19,FALSE)</f>
        <v>8730</v>
      </c>
      <c r="U14" s="18">
        <f>VLOOKUP($B14,'BaseLine Data'!$B9:$AS21,20,FALSE)</f>
        <v>3586</v>
      </c>
      <c r="V14" s="30">
        <f>T14*60*(1/R14)</f>
        <v>25.986009822890313</v>
      </c>
      <c r="W14" s="28">
        <f t="shared" si="5"/>
        <v>7.2571505666486775</v>
      </c>
      <c r="X14" s="29">
        <f t="shared" si="1"/>
        <v>1.6941587424801088</v>
      </c>
      <c r="Y14" s="28">
        <f t="shared" si="2"/>
        <v>0.60523206751054848</v>
      </c>
      <c r="Z14" s="31">
        <f t="shared" si="3"/>
        <v>3.4892086330935252</v>
      </c>
      <c r="AA14" s="32">
        <f t="shared" si="4"/>
        <v>0.98869589192169838</v>
      </c>
      <c r="AB14" s="52">
        <f>VLOOKUP($B14,'BaseLine Data'!$B9:$AS21,44,FALSE)</f>
        <v>6</v>
      </c>
    </row>
    <row r="15" spans="1:28">
      <c r="A15" s="17" t="s">
        <v>32</v>
      </c>
      <c r="B15" s="18" t="s">
        <v>33</v>
      </c>
      <c r="C15" s="18">
        <f>VLOOKUP($B15,'BaseLine Data'!$B9:$AS21,2,FALSE)</f>
        <v>1</v>
      </c>
      <c r="D15" s="18" t="str">
        <f>VLOOKUP($B15,'BaseLine Data'!$B9:$AS21,3,FALSE)</f>
        <v>Newton</v>
      </c>
      <c r="E15" s="18">
        <f>VLOOKUP($B15,'BaseLine Data'!$B9:$AS21,4,FALSE)</f>
        <v>1724</v>
      </c>
      <c r="F15" s="18" t="str">
        <f>VLOOKUP($B15,'BaseLine Data'!$B9:$AS21,5,FALSE)</f>
        <v>Colonial</v>
      </c>
      <c r="G15" s="18">
        <f>VLOOKUP($B15,'BaseLine Data'!$B9:$AS21,6,FALSE)</f>
        <v>1</v>
      </c>
      <c r="H15" s="18">
        <f>VLOOKUP($B15,'BaseLine Data'!$B9:$AS21,7,FALSE)</f>
        <v>1930</v>
      </c>
      <c r="I15" s="18" t="str">
        <f>VLOOKUP($B15,'BaseLine Data'!$B9:$AS21,8,FALSE)</f>
        <v>Complete</v>
      </c>
      <c r="J15" s="18" t="str">
        <f>VLOOKUP($B15,'BaseLine Data'!$B9:$AS21,9,FALSE)</f>
        <v>Y</v>
      </c>
      <c r="K15" s="18">
        <f>VLOOKUP($B15,'BaseLine Data'!$B9:$AS21,10,FALSE)</f>
        <v>0</v>
      </c>
      <c r="L15" s="18">
        <f>VLOOKUP($B15,'BaseLine Data'!$B9:$AS21,11,FALSE)</f>
        <v>0</v>
      </c>
      <c r="M15" s="18">
        <f>VLOOKUP($B15,'BaseLine Data'!$B9:$AS21,12,FALSE)</f>
        <v>0</v>
      </c>
      <c r="N15" s="18">
        <f>VLOOKUP($B15,'BaseLine Data'!$B9:$AS21,13,FALSE)</f>
        <v>1815</v>
      </c>
      <c r="O15" s="18">
        <f>VLOOKUP($B15,'BaseLine Data'!$B9:$AS21,14,FALSE)</f>
        <v>2199</v>
      </c>
      <c r="P15" s="18">
        <f>VLOOKUP($B15,'BaseLine Data'!$B9:$AS21,15,FALSE)</f>
        <v>3729</v>
      </c>
      <c r="Q15" s="18">
        <f>VLOOKUP($B15,'BaseLine Data'!$B9:$AS21,16,FALSE)</f>
        <v>4337</v>
      </c>
      <c r="R15" s="18">
        <f>VLOOKUP($B15,'BaseLine Data'!$B9:$AS21,17,FALSE)</f>
        <v>18831</v>
      </c>
      <c r="S15" s="18">
        <f>VLOOKUP($B15,'BaseLine Data'!$B9:$AS21,18,FALSE)</f>
        <v>21904</v>
      </c>
      <c r="T15" s="18">
        <f>VLOOKUP($B15,'BaseLine Data'!$B9:$AS21,19,FALSE)</f>
        <v>3199</v>
      </c>
      <c r="U15" s="18">
        <f>VLOOKUP($B15,'BaseLine Data'!$B9:$AS21,20,FALSE)</f>
        <v>1299</v>
      </c>
      <c r="V15" s="30">
        <f>T15*60*(1/R15)</f>
        <v>10.192767245499441</v>
      </c>
      <c r="W15" s="28">
        <f t="shared" si="5"/>
        <v>3.558254200146092</v>
      </c>
      <c r="X15" s="29">
        <f t="shared" si="1"/>
        <v>0.857870742826495</v>
      </c>
      <c r="Y15" s="28">
        <f t="shared" si="2"/>
        <v>0.29951579432787639</v>
      </c>
      <c r="Z15" s="29">
        <f t="shared" si="3"/>
        <v>1.7625344352617081</v>
      </c>
      <c r="AA15" s="28">
        <f t="shared" si="4"/>
        <v>0.59072305593451568</v>
      </c>
      <c r="AB15" s="52">
        <f>VLOOKUP($B15,'BaseLine Data'!$B9:$AS21,44,FALSE)</f>
        <v>7</v>
      </c>
    </row>
    <row r="16" spans="1:28">
      <c r="A16" s="17" t="s">
        <v>24</v>
      </c>
      <c r="B16" s="18" t="s">
        <v>34</v>
      </c>
      <c r="C16" s="18">
        <f>VLOOKUP($B16,'BaseLine Data'!$B9:$AS21,2,FALSE)</f>
        <v>3</v>
      </c>
      <c r="D16" s="18" t="str">
        <f>VLOOKUP($B16,'BaseLine Data'!$B9:$AS21,3,FALSE)</f>
        <v>Jamaica Plain</v>
      </c>
      <c r="E16" s="18">
        <f>VLOOKUP($B16,'BaseLine Data'!$B9:$AS21,4,FALSE)</f>
        <v>3885</v>
      </c>
      <c r="F16" s="18" t="str">
        <f>VLOOKUP($B16,'BaseLine Data'!$B9:$AS21,5,FALSE)</f>
        <v>3-family</v>
      </c>
      <c r="G16" s="18">
        <f>VLOOKUP($B16,'BaseLine Data'!$B9:$AS21,6,FALSE)</f>
        <v>3</v>
      </c>
      <c r="H16" s="18">
        <f>VLOOKUP($B16,'BaseLine Data'!$B9:$AS21,7,FALSE)</f>
        <v>1907</v>
      </c>
      <c r="I16" s="18" t="str">
        <f>VLOOKUP($B16,'BaseLine Data'!$B9:$AS21,8,FALSE)</f>
        <v>Complete</v>
      </c>
      <c r="J16" s="18">
        <f>VLOOKUP($B16,'BaseLine Data'!$B9:$AS21,9,FALSE)</f>
        <v>0</v>
      </c>
      <c r="K16" s="18">
        <f>VLOOKUP($B16,'BaseLine Data'!$B9:$AS21,10,FALSE)</f>
        <v>0</v>
      </c>
      <c r="L16" s="18">
        <f>VLOOKUP($B16,'BaseLine Data'!$B9:$AS21,11,FALSE)</f>
        <v>0</v>
      </c>
      <c r="M16" s="18">
        <f>VLOOKUP($B16,'BaseLine Data'!$B9:$AS21,12,FALSE)</f>
        <v>0</v>
      </c>
      <c r="N16" s="18">
        <f>VLOOKUP($B16,'BaseLine Data'!$B9:$AS21,13,FALSE)</f>
        <v>3885</v>
      </c>
      <c r="O16" s="18">
        <f>VLOOKUP($B16,'BaseLine Data'!$B9:$AS21,14,FALSE)</f>
        <v>3885</v>
      </c>
      <c r="P16" s="18">
        <f>VLOOKUP($B16,'BaseLine Data'!$B9:$AS21,15,FALSE)</f>
        <v>6308</v>
      </c>
      <c r="Q16" s="18">
        <f>VLOOKUP($B16,'BaseLine Data'!$B9:$AS21,16,FALSE)</f>
        <v>7456</v>
      </c>
      <c r="R16" s="18">
        <f>VLOOKUP($B16,'BaseLine Data'!$B9:$AS21,17,FALSE)</f>
        <v>42586</v>
      </c>
      <c r="S16" s="18">
        <f>VLOOKUP($B16,'BaseLine Data'!$B9:$AS21,18,FALSE)</f>
        <v>42586</v>
      </c>
      <c r="T16" s="18">
        <f>VLOOKUP($B16,'BaseLine Data'!$B9:$AS21,19,FALSE)</f>
        <v>7729</v>
      </c>
      <c r="U16" s="18">
        <f>VLOOKUP($B16,'BaseLine Data'!$B9:$AS21,20,FALSE)</f>
        <v>1802</v>
      </c>
      <c r="V16" s="30">
        <f>T16*60*(1/R16)</f>
        <v>10.889494199971821</v>
      </c>
      <c r="W16" s="28">
        <f t="shared" si="5"/>
        <v>2.5388625369839852</v>
      </c>
      <c r="X16" s="29">
        <f t="shared" si="1"/>
        <v>1.2252694990488269</v>
      </c>
      <c r="Y16" s="28">
        <f t="shared" si="2"/>
        <v>0.24168454935622319</v>
      </c>
      <c r="Z16" s="29">
        <f t="shared" si="3"/>
        <v>1.9894465894465894</v>
      </c>
      <c r="AA16" s="28">
        <f t="shared" si="4"/>
        <v>0.46383526383526386</v>
      </c>
      <c r="AB16" s="52">
        <f>VLOOKUP($B16,'BaseLine Data'!$B9:$AS21,44,FALSE)</f>
        <v>8</v>
      </c>
    </row>
    <row r="17" spans="1:28">
      <c r="A17" s="17" t="s">
        <v>24</v>
      </c>
      <c r="B17" s="18" t="s">
        <v>35</v>
      </c>
      <c r="C17" s="18">
        <f>VLOOKUP($B17,'BaseLine Data'!$B9:$AS21,2,FALSE)</f>
        <v>1</v>
      </c>
      <c r="D17" s="18" t="str">
        <f>VLOOKUP($B17,'BaseLine Data'!$B9:$AS21,3,FALSE)</f>
        <v>Northampton</v>
      </c>
      <c r="E17" s="18">
        <f>VLOOKUP($B17,'BaseLine Data'!$B9:$AS21,4,FALSE)</f>
        <v>2032</v>
      </c>
      <c r="F17" s="18" t="str">
        <f>VLOOKUP($B17,'BaseLine Data'!$B9:$AS21,5,FALSE)</f>
        <v>Victorian</v>
      </c>
      <c r="G17" s="18">
        <f>VLOOKUP($B17,'BaseLine Data'!$B9:$AS21,6,FALSE)</f>
        <v>1</v>
      </c>
      <c r="H17" s="18">
        <f>VLOOKUP($B17,'BaseLine Data'!$B9:$AS21,7,FALSE)</f>
        <v>1859</v>
      </c>
      <c r="I17" s="18" t="str">
        <f>VLOOKUP($B17,'BaseLine Data'!$B9:$AS21,8,FALSE)</f>
        <v>Complete</v>
      </c>
      <c r="J17" s="18">
        <f>VLOOKUP($B17,'BaseLine Data'!$B9:$AS21,9,FALSE)</f>
        <v>0</v>
      </c>
      <c r="K17" s="18">
        <f>VLOOKUP($B17,'BaseLine Data'!$B9:$AS21,10,FALSE)</f>
        <v>0</v>
      </c>
      <c r="L17" s="18">
        <f>VLOOKUP($B17,'BaseLine Data'!$B9:$AS21,11,FALSE)</f>
        <v>0</v>
      </c>
      <c r="M17" s="18" t="str">
        <f>VLOOKUP($B17,'BaseLine Data'!$B9:$AS21,12,FALSE)</f>
        <v>Included</v>
      </c>
      <c r="N17" s="18">
        <f>VLOOKUP($B17,'BaseLine Data'!$B9:$AS21,13,FALSE)</f>
        <v>2032</v>
      </c>
      <c r="O17" s="18">
        <f>VLOOKUP($B17,'BaseLine Data'!$B9:$AS21,14,FALSE)</f>
        <v>2747</v>
      </c>
      <c r="P17" s="18">
        <f>VLOOKUP($B17,'BaseLine Data'!$B9:$AS21,15,FALSE)</f>
        <v>6711</v>
      </c>
      <c r="Q17" s="18">
        <f>VLOOKUP($B17,'BaseLine Data'!$B9:$AS21,16,FALSE)</f>
        <v>7798</v>
      </c>
      <c r="R17" s="18">
        <f>VLOOKUP($B17,'BaseLine Data'!$B9:$AS21,17,FALSE)</f>
        <v>0</v>
      </c>
      <c r="S17" s="18">
        <f>VLOOKUP($B17,'BaseLine Data'!$B9:$AS21,18,FALSE)</f>
        <v>34624</v>
      </c>
      <c r="T17" s="18">
        <f>VLOOKUP($B17,'BaseLine Data'!$B9:$AS21,19,FALSE)</f>
        <v>6155</v>
      </c>
      <c r="U17" s="18">
        <f>VLOOKUP($B17,'BaseLine Data'!$B9:$AS21,20,FALSE)</f>
        <v>473</v>
      </c>
      <c r="V17" s="30"/>
      <c r="W17" s="28">
        <f t="shared" si="5"/>
        <v>0.81966266173752311</v>
      </c>
      <c r="X17" s="29">
        <f t="shared" si="1"/>
        <v>0.91715094620771864</v>
      </c>
      <c r="Y17" s="28">
        <f t="shared" si="2"/>
        <v>6.0656578609899973E-2</v>
      </c>
      <c r="Z17" s="29">
        <f t="shared" si="3"/>
        <v>3.0290354330708662</v>
      </c>
      <c r="AA17" s="28">
        <f t="shared" si="4"/>
        <v>0.17218784128139789</v>
      </c>
      <c r="AB17" s="52">
        <f>VLOOKUP($B17,'BaseLine Data'!$B9:$AS21,44,FALSE)</f>
        <v>9</v>
      </c>
    </row>
    <row r="18" spans="1:28" ht="70">
      <c r="A18" s="17" t="s">
        <v>24</v>
      </c>
      <c r="B18" s="18" t="s">
        <v>36</v>
      </c>
      <c r="C18" s="18">
        <f>VLOOKUP($B18,'BaseLine Data'!$B9:$AS21,2,FALSE)</f>
        <v>1</v>
      </c>
      <c r="D18" s="18" t="str">
        <f>VLOOKUP($B18,'BaseLine Data'!$B9:$AS21,3,FALSE)</f>
        <v>Lancaster</v>
      </c>
      <c r="E18" s="18">
        <f>VLOOKUP($B18,'BaseLine Data'!$B9:$AS21,4,FALSE)</f>
        <v>908</v>
      </c>
      <c r="F18" s="18" t="str">
        <f>VLOOKUP($B18,'BaseLine Data'!$B9:$AS21,5,FALSE)</f>
        <v>Cape to Colonial</v>
      </c>
      <c r="G18" s="18">
        <f>VLOOKUP($B18,'BaseLine Data'!$B9:$AS21,6,FALSE)</f>
        <v>2</v>
      </c>
      <c r="H18" s="18">
        <f>VLOOKUP($B18,'BaseLine Data'!$B9:$AS21,7,FALSE)</f>
        <v>1900</v>
      </c>
      <c r="I18" s="18" t="str">
        <f>VLOOKUP($B18,'BaseLine Data'!$B9:$AS21,8,FALSE)</f>
        <v>Complete</v>
      </c>
      <c r="J18" s="18" t="str">
        <f>VLOOKUP($B18,'BaseLine Data'!$B9:$AS21,9,FALSE)</f>
        <v>Y</v>
      </c>
      <c r="K18" s="18">
        <f>VLOOKUP($B18,'BaseLine Data'!$B9:$AS21,10,FALSE)</f>
        <v>0</v>
      </c>
      <c r="L18" s="18">
        <f>VLOOKUP($B18,'BaseLine Data'!$B9:$AS21,11,FALSE)</f>
        <v>0</v>
      </c>
      <c r="M18" s="18">
        <f>VLOOKUP($B18,'BaseLine Data'!$B9:$AS21,12,FALSE)</f>
        <v>0</v>
      </c>
      <c r="N18" s="18">
        <f>VLOOKUP($B18,'BaseLine Data'!$B9:$AS21,13,FALSE)</f>
        <v>980</v>
      </c>
      <c r="O18" s="18">
        <f>VLOOKUP($B18,'BaseLine Data'!$B9:$AS21,14,FALSE)</f>
        <v>1440</v>
      </c>
      <c r="P18" s="18">
        <f>VLOOKUP($B18,'BaseLine Data'!$B9:$AS21,15,FALSE)</f>
        <v>2583</v>
      </c>
      <c r="Q18" s="18">
        <f>VLOOKUP($B18,'BaseLine Data'!$B9:$AS21,16,FALSE)</f>
        <v>3222</v>
      </c>
      <c r="R18" s="18">
        <f>VLOOKUP($B18,'BaseLine Data'!$B9:$AS21,17,FALSE)</f>
        <v>7080</v>
      </c>
      <c r="S18" s="18">
        <f>VLOOKUP($B18,'BaseLine Data'!$B9:$AS21,18,FALSE)</f>
        <v>12336</v>
      </c>
      <c r="T18" s="18">
        <f>VLOOKUP($B18,'BaseLine Data'!$B9:$AS21,19,FALSE)</f>
        <v>4254</v>
      </c>
      <c r="U18" s="18">
        <f>VLOOKUP($B18,'BaseLine Data'!$B9:$AS21,20,FALSE)</f>
        <v>293</v>
      </c>
      <c r="V18" s="30">
        <f>T18*60*(1/R18)</f>
        <v>36.050847457627121</v>
      </c>
      <c r="W18" s="28">
        <f t="shared" si="5"/>
        <v>1.4250972762645915</v>
      </c>
      <c r="X18" s="29">
        <f t="shared" si="1"/>
        <v>1.6469221835075494</v>
      </c>
      <c r="Y18" s="28">
        <f t="shared" si="2"/>
        <v>9.0937306021104905E-2</v>
      </c>
      <c r="Z18" s="29">
        <f t="shared" si="3"/>
        <v>4.3408163265306126</v>
      </c>
      <c r="AA18" s="28">
        <f t="shared" si="4"/>
        <v>0.20347222222222222</v>
      </c>
      <c r="AB18" s="52">
        <f>VLOOKUP($B18,'BaseLine Data'!$B9:$AS21,44,FALSE)</f>
        <v>10</v>
      </c>
    </row>
    <row r="19" spans="1:28">
      <c r="A19" s="17" t="s">
        <v>24</v>
      </c>
      <c r="B19" s="18" t="s">
        <v>37</v>
      </c>
      <c r="C19" s="18">
        <f>VLOOKUP($B19,'BaseLine Data'!$B9:$AS21,2,FALSE)</f>
        <v>1</v>
      </c>
      <c r="D19" s="18" t="str">
        <f>VLOOKUP($B19,'BaseLine Data'!$B9:$AS21,3,FALSE)</f>
        <v>Brookline</v>
      </c>
      <c r="E19" s="18">
        <f>VLOOKUP($B19,'BaseLine Data'!$B9:$AS21,4,FALSE)</f>
        <v>2284</v>
      </c>
      <c r="F19" s="18" t="str">
        <f>VLOOKUP($B19,'BaseLine Data'!$B9:$AS21,5,FALSE)</f>
        <v>Victorian</v>
      </c>
      <c r="G19" s="18">
        <f>VLOOKUP($B19,'BaseLine Data'!$B9:$AS21,6,FALSE)</f>
        <v>3</v>
      </c>
      <c r="H19" s="18">
        <f>VLOOKUP($B19,'BaseLine Data'!$B9:$AS21,7,FALSE)</f>
        <v>1899</v>
      </c>
      <c r="I19" s="18" t="str">
        <f>VLOOKUP($B19,'BaseLine Data'!$B9:$AS21,8,FALSE)</f>
        <v>Complete</v>
      </c>
      <c r="J19" s="18">
        <f>VLOOKUP($B19,'BaseLine Data'!$B9:$AS21,9,FALSE)</f>
        <v>0</v>
      </c>
      <c r="K19" s="18">
        <f>VLOOKUP($B19,'BaseLine Data'!$B9:$AS21,10,FALSE)</f>
        <v>0</v>
      </c>
      <c r="L19" s="18">
        <f>VLOOKUP($B19,'BaseLine Data'!$B9:$AS21,11,FALSE)</f>
        <v>0</v>
      </c>
      <c r="M19" s="18">
        <f>VLOOKUP($B19,'BaseLine Data'!$B9:$AS21,12,FALSE)</f>
        <v>0</v>
      </c>
      <c r="N19" s="18">
        <f>VLOOKUP($B19,'BaseLine Data'!$B9:$AS21,13,FALSE)</f>
        <v>3078</v>
      </c>
      <c r="O19" s="18">
        <f>VLOOKUP($B19,'BaseLine Data'!$B9:$AS21,14,FALSE)</f>
        <v>3174</v>
      </c>
      <c r="P19" s="18">
        <f>VLOOKUP($B19,'BaseLine Data'!$B9:$AS21,15,FALSE)</f>
        <v>5794</v>
      </c>
      <c r="Q19" s="18">
        <f>VLOOKUP($B19,'BaseLine Data'!$B9:$AS21,16,FALSE)</f>
        <v>5924</v>
      </c>
      <c r="R19" s="18">
        <f>VLOOKUP($B19,'BaseLine Data'!$B9:$AS21,17,FALSE)</f>
        <v>26187</v>
      </c>
      <c r="S19" s="18">
        <f>VLOOKUP($B19,'BaseLine Data'!$B9:$AS21,18,FALSE)</f>
        <v>26187</v>
      </c>
      <c r="T19" s="18">
        <f>VLOOKUP($B19,'BaseLine Data'!$B9:$AS21,19,FALSE)</f>
        <v>1640</v>
      </c>
      <c r="U19" s="18">
        <f>VLOOKUP($B19,'BaseLine Data'!$B9:$AS21,20,FALSE)</f>
        <v>655</v>
      </c>
      <c r="V19" s="30">
        <f>T19*60*(1/R19)</f>
        <v>3.7575896437163481</v>
      </c>
      <c r="W19" s="28">
        <f t="shared" si="5"/>
        <v>1.5007446442891512</v>
      </c>
      <c r="X19" s="29">
        <f t="shared" si="1"/>
        <v>0.28305143251639625</v>
      </c>
      <c r="Y19" s="28">
        <f t="shared" si="2"/>
        <v>0.11056718433490885</v>
      </c>
      <c r="Z19" s="29">
        <f t="shared" si="3"/>
        <v>0.53281351526965559</v>
      </c>
      <c r="AA19" s="28">
        <f t="shared" si="4"/>
        <v>0.20636420919974796</v>
      </c>
      <c r="AB19" s="52">
        <f>VLOOKUP($B19,'BaseLine Data'!$B9:$AS21,44,FALSE)</f>
        <v>11</v>
      </c>
    </row>
    <row r="20" spans="1:28">
      <c r="A20" s="17" t="s">
        <v>24</v>
      </c>
      <c r="B20" s="18" t="s">
        <v>38</v>
      </c>
      <c r="C20" s="18">
        <f>VLOOKUP($B20,'BaseLine Data'!$B9:$AS21,2,FALSE)</f>
        <v>1</v>
      </c>
      <c r="D20" s="18" t="str">
        <f>VLOOKUP($B20,'BaseLine Data'!$B9:$AS21,3,FALSE)</f>
        <v>Westford</v>
      </c>
      <c r="E20" s="18">
        <f>VLOOKUP($B20,'BaseLine Data'!$B9:$AS21,4,FALSE)</f>
        <v>2906</v>
      </c>
      <c r="F20" s="18" t="str">
        <f>VLOOKUP($B20,'BaseLine Data'!$B9:$AS21,5,FALSE)</f>
        <v>Colonial</v>
      </c>
      <c r="G20" s="18">
        <f>VLOOKUP($B20,'BaseLine Data'!$B9:$AS21,6,FALSE)</f>
        <v>2</v>
      </c>
      <c r="H20" s="18">
        <f>VLOOKUP($B20,'BaseLine Data'!$B9:$AS21,7,FALSE)</f>
        <v>1993</v>
      </c>
      <c r="I20" s="18" t="str">
        <f>VLOOKUP($B20,'BaseLine Data'!$B9:$AS21,8,FALSE)</f>
        <v>Complete</v>
      </c>
      <c r="J20" s="18">
        <f>VLOOKUP($B20,'BaseLine Data'!$B9:$AS21,9,FALSE)</f>
        <v>0</v>
      </c>
      <c r="K20" s="18" t="str">
        <f>VLOOKUP($B20,'BaseLine Data'!$B9:$AS21,10,FALSE)</f>
        <v>application</v>
      </c>
      <c r="L20" s="18">
        <f>VLOOKUP($B20,'BaseLine Data'!$B9:$AS21,11,FALSE)</f>
        <v>0</v>
      </c>
      <c r="M20" s="18">
        <f>VLOOKUP($B20,'BaseLine Data'!$B9:$AS21,12,FALSE)</f>
        <v>0</v>
      </c>
      <c r="N20" s="18">
        <f>VLOOKUP($B20,'BaseLine Data'!$B9:$AS21,13,FALSE)</f>
        <v>2906</v>
      </c>
      <c r="O20" s="18">
        <f>VLOOKUP($B20,'BaseLine Data'!$B9:$AS21,14,FALSE)</f>
        <v>3955</v>
      </c>
      <c r="P20" s="18">
        <f>VLOOKUP($B20,'BaseLine Data'!$B9:$AS21,15,FALSE)</f>
        <v>7325</v>
      </c>
      <c r="Q20" s="18">
        <f>VLOOKUP($B20,'BaseLine Data'!$B9:$AS21,16,FALSE)</f>
        <v>9538</v>
      </c>
      <c r="R20" s="18">
        <f>VLOOKUP($B20,'BaseLine Data'!$B9:$AS21,17,FALSE)</f>
        <v>32226</v>
      </c>
      <c r="S20" s="18">
        <f>VLOOKUP($B20,'BaseLine Data'!$B9:$AS21,18,FALSE)</f>
        <v>44475</v>
      </c>
      <c r="T20" s="18">
        <f>VLOOKUP($B20,'BaseLine Data'!$B9:$AS21,19,FALSE)</f>
        <v>2592</v>
      </c>
      <c r="U20" s="18">
        <f>VLOOKUP($B20,'BaseLine Data'!$B9:$AS21,20,FALSE)</f>
        <v>930</v>
      </c>
      <c r="V20" s="30">
        <f>T20*60*(1/R20)</f>
        <v>4.8259169614596908</v>
      </c>
      <c r="W20" s="28">
        <f t="shared" si="5"/>
        <v>1.2546374367622262</v>
      </c>
      <c r="X20" s="29">
        <f t="shared" si="1"/>
        <v>0.35385665529010241</v>
      </c>
      <c r="Y20" s="34">
        <f t="shared" si="2"/>
        <v>9.7504717970224364E-2</v>
      </c>
      <c r="Z20" s="29">
        <f t="shared" si="3"/>
        <v>0.89194769442532695</v>
      </c>
      <c r="AA20" s="28">
        <f t="shared" si="4"/>
        <v>0.23514538558786346</v>
      </c>
      <c r="AB20" s="52">
        <f>VLOOKUP($B20,'BaseLine Data'!$B9:$AS21,44,FALSE)</f>
        <v>12</v>
      </c>
    </row>
    <row r="21" spans="1:28">
      <c r="A21" s="17" t="s">
        <v>24</v>
      </c>
      <c r="B21" s="18" t="s">
        <v>40</v>
      </c>
      <c r="C21" s="18">
        <f>VLOOKUP($B21,'BaseLine Data'!$B9:$AS21,2,FALSE)</f>
        <v>1</v>
      </c>
      <c r="D21" s="18" t="str">
        <f>VLOOKUP($B21,'BaseLine Data'!$B9:$AS21,3,FALSE)</f>
        <v>Gloucester</v>
      </c>
      <c r="E21" s="18">
        <f>VLOOKUP($B21,'BaseLine Data'!$B9:$AS21,4,FALSE)</f>
        <v>2171</v>
      </c>
      <c r="F21" s="18" t="str">
        <f>VLOOKUP($B21,'BaseLine Data'!$B9:$AS21,5,FALSE)</f>
        <v>Single family</v>
      </c>
      <c r="G21" s="18">
        <f>VLOOKUP($B21,'BaseLine Data'!$B9:$AS21,6,FALSE)</f>
        <v>2</v>
      </c>
      <c r="H21" s="18">
        <f>VLOOKUP($B21,'BaseLine Data'!$B9:$AS21,7,FALSE)</f>
        <v>1920</v>
      </c>
      <c r="I21" s="18" t="str">
        <f>VLOOKUP($B21,'BaseLine Data'!$B9:$AS21,8,FALSE)</f>
        <v>Complete</v>
      </c>
      <c r="J21" s="18">
        <f>VLOOKUP($B21,'BaseLine Data'!$B9:$AS21,9,FALSE)</f>
        <v>0</v>
      </c>
      <c r="K21" s="18" t="str">
        <f>VLOOKUP($B21,'BaseLine Data'!$B9:$AS21,10,FALSE)</f>
        <v>application</v>
      </c>
      <c r="L21" s="18">
        <f>VLOOKUP($B21,'BaseLine Data'!$B9:$AS21,11,FALSE)</f>
        <v>0</v>
      </c>
      <c r="M21" s="18">
        <f>VLOOKUP($B21,'BaseLine Data'!$B9:$AS21,12,FALSE)</f>
        <v>0</v>
      </c>
      <c r="N21" s="18">
        <f>VLOOKUP($B21,'BaseLine Data'!$B9:$AS21,13,FALSE)</f>
        <v>2171</v>
      </c>
      <c r="O21" s="18">
        <f>VLOOKUP($B21,'BaseLine Data'!$B9:$AS21,14,FALSE)</f>
        <v>2424</v>
      </c>
      <c r="P21" s="18">
        <f>VLOOKUP($B21,'BaseLine Data'!$B9:$AS21,15,FALSE)</f>
        <v>5325</v>
      </c>
      <c r="Q21" s="18">
        <f>VLOOKUP($B21,'BaseLine Data'!$B9:$AS21,16,FALSE)</f>
        <v>6493</v>
      </c>
      <c r="R21" s="18">
        <f>VLOOKUP($B21,'BaseLine Data'!$B9:$AS21,17,FALSE)</f>
        <v>0</v>
      </c>
      <c r="S21" s="18">
        <f>VLOOKUP($B21,'BaseLine Data'!$B9:$AS21,18,FALSE)</f>
        <v>23285</v>
      </c>
      <c r="T21" s="18">
        <f>VLOOKUP($B21,'BaseLine Data'!$B9:$AS21,19,FALSE)</f>
        <v>2258</v>
      </c>
      <c r="U21" s="18">
        <f>VLOOKUP($B21,'BaseLine Data'!$B9:$AS21,20,FALSE)</f>
        <v>235</v>
      </c>
      <c r="V21" s="30" t="e">
        <f>T21*60*(1/R21)</f>
        <v>#DIV/0!</v>
      </c>
      <c r="W21" s="28">
        <f t="shared" si="5"/>
        <v>0.60554004724071286</v>
      </c>
      <c r="X21" s="29">
        <f t="shared" si="1"/>
        <v>0.42403755868544601</v>
      </c>
      <c r="Y21" s="34">
        <f t="shared" si="2"/>
        <v>3.6192823040197136E-2</v>
      </c>
      <c r="Z21" s="29">
        <f t="shared" si="3"/>
        <v>1.0400736987563335</v>
      </c>
      <c r="AA21" s="28">
        <f t="shared" si="4"/>
        <v>9.6947194719471941E-2</v>
      </c>
      <c r="AB21" s="52">
        <f>VLOOKUP($B21,'BaseLine Data'!$B9:$AS21,44,FALSE)</f>
        <v>14</v>
      </c>
    </row>
    <row r="23" spans="1:28">
      <c r="B23" s="51"/>
      <c r="O23" s="50"/>
      <c r="S23" t="s">
        <v>46</v>
      </c>
      <c r="U23" s="47">
        <f>AVERAGE(U9:U21)</f>
        <v>929.15384615384619</v>
      </c>
      <c r="V23" s="45"/>
      <c r="W23" s="47">
        <f>AVERAGE(W9:W21)</f>
        <v>1.9759163421524097</v>
      </c>
      <c r="X23" s="45"/>
      <c r="Y23" s="47">
        <f>AVERAGE(Y9:Y21)</f>
        <v>0.1603350650884163</v>
      </c>
      <c r="AA23" s="45"/>
    </row>
    <row r="24" spans="1:28">
      <c r="B24" s="51"/>
      <c r="S24" t="s">
        <v>58</v>
      </c>
      <c r="U24" s="47">
        <f>STDEVP(U9:U21)</f>
        <v>871.77571622997391</v>
      </c>
      <c r="V24" s="47"/>
      <c r="W24" s="47">
        <f>STDEVP(W9:W21)</f>
        <v>1.7013553927449407</v>
      </c>
      <c r="X24" s="47"/>
      <c r="Y24" s="47">
        <f>STDEVP(Y9:Y21)</f>
        <v>0.1463475654439364</v>
      </c>
    </row>
    <row r="25" spans="1:28">
      <c r="B25" s="51"/>
      <c r="S25" t="s">
        <v>51</v>
      </c>
      <c r="U25" s="47">
        <f>AVERAGE(U9:U13,U15:U21)</f>
        <v>707.75</v>
      </c>
      <c r="V25" s="45"/>
      <c r="W25" s="47">
        <f>AVERAGE(W9:W13,W15:W21)</f>
        <v>1.5358134901110541</v>
      </c>
      <c r="X25" s="45"/>
      <c r="Y25" s="47">
        <f>AVERAGE(Y9:Y13,Y15:Y21)</f>
        <v>0.12326031488657198</v>
      </c>
    </row>
    <row r="26" spans="1:28">
      <c r="B26" s="51"/>
      <c r="S26" t="s">
        <v>58</v>
      </c>
      <c r="U26" s="47">
        <f>STDEV(U9:U13,U15:U21)</f>
        <v>450.53909627548114</v>
      </c>
      <c r="V26" s="47"/>
      <c r="W26" s="47">
        <f>STDEVP(W9:W13,W15:W21)</f>
        <v>0.78603493682956305</v>
      </c>
      <c r="X26" s="47"/>
      <c r="Y26" s="47">
        <f>STDEVP(Y9:Y13,Y15,Y16,Y17:Y21)</f>
        <v>7.3030325238461521E-2</v>
      </c>
    </row>
    <row r="28" spans="1:28">
      <c r="W28" s="47"/>
      <c r="Y28" s="47">
        <f>MIN(Y9:Y21)</f>
        <v>3.6192823040197136E-2</v>
      </c>
    </row>
    <row r="29" spans="1:28">
      <c r="Y29" s="47">
        <f>MAX(Y9:Y21)</f>
        <v>0.60523206751054848</v>
      </c>
    </row>
  </sheetData>
  <sortState ref="A9:AN21">
    <sortCondition ref="AB9:AB21"/>
  </sortState>
  <pageMargins left="0.7" right="0.7" top="0.75" bottom="0.75" header="0.3" footer="0.3"/>
  <pageSetup orientation="portrait"/>
  <drawing r:id="rId1"/>
  <extLst>
    <ext xmlns:x14="http://schemas.microsoft.com/office/spreadsheetml/2009/9/main" uri="{CCE6A557-97BC-4b89-ADB6-D9C93CAAB3DF}">
      <x14:dataValidations xmlns:xm="http://schemas.microsoft.com/office/excel/2006/main" disablePrompts="1" count="2">
        <x14:dataValidation type="list" allowBlank="1" showInputMessage="1" showErrorMessage="1">
          <x14:formula1>
            <xm:f>'[1]Project Statistics'!#REF!</xm:f>
          </x14:formula1>
          <xm:sqref>WVN9:WVO21 WLR9:WLS21 WBV9:WBW21 VRZ9:VSA21 VID9:VIE21 UYH9:UYI21 UOL9:UOM21 UEP9:UEQ21 TUT9:TUU21 TKX9:TKY21 TBB9:TBC21 SRF9:SRG21 SHJ9:SHK21 RXN9:RXO21 RNR9:RNS21 RDV9:RDW21 QTZ9:QUA21 QKD9:QKE21 QAH9:QAI21 PQL9:PQM21 PGP9:PGQ21 OWT9:OWU21 OMX9:OMY21 ODB9:ODC21 NTF9:NTG21 NJJ9:NJK21 MZN9:MZO21 MPR9:MPS21 MFV9:MFW21 LVZ9:LWA21 LMD9:LME21 LCH9:LCI21 KSL9:KSM21 KIP9:KIQ21 JYT9:JYU21 JOX9:JOY21 JFB9:JFC21 IVF9:IVG21 ILJ9:ILK21 IBN9:IBO21 HRR9:HRS21 HHV9:HHW21 GXZ9:GYA21 GOD9:GOE21 GEH9:GEI21 FUL9:FUM21 FKP9:FKQ21 FAT9:FAU21 EQX9:EQY21 EHB9:EHC21 DXF9:DXG21 DNJ9:DNK21 DDN9:DDO21 CTR9:CTS21 CJV9:CJW21 BZZ9:CAA21 BQD9:BQE21 BGH9:BGI21 AWL9:AWM21 AMP9:AMQ21 ACT9:ACU21 SX9:SY21 JB9:JC21</xm:sqref>
        </x14:dataValidation>
        <x14:dataValidation type="list" allowBlank="1" showInputMessage="1" showErrorMessage="1">
          <x14:formula1>
            <xm:f>'[1]Project Statistics'!#REF!</xm:f>
          </x14:formula1>
          <xm:sqref>WVM9:WVM21 WLQ9:WLQ21 WBU9:WBU21 VRY9:VRY21 VIC9:VIC21 UYG9:UYG21 UOK9:UOK21 UEO9:UEO21 TUS9:TUS21 TKW9:TKW21 TBA9:TBA21 SRE9:SRE21 SHI9:SHI21 RXM9:RXM21 RNQ9:RNQ21 RDU9:RDU21 QTY9:QTY21 QKC9:QKC21 QAG9:QAG21 PQK9:PQK21 PGO9:PGO21 OWS9:OWS21 OMW9:OMW21 ODA9:ODA21 NTE9:NTE21 NJI9:NJI21 MZM9:MZM21 MPQ9:MPQ21 MFU9:MFU21 LVY9:LVY21 LMC9:LMC21 LCG9:LCG21 KSK9:KSK21 KIO9:KIO21 JYS9:JYS21 JOW9:JOW21 JFA9:JFA21 IVE9:IVE21 ILI9:ILI21 IBM9:IBM21 HRQ9:HRQ21 HHU9:HHU21 GXY9:GXY21 GOC9:GOC21 GEG9:GEG21 FUK9:FUK21 FKO9:FKO21 FAS9:FAS21 EQW9:EQW21 EHA9:EHA21 DXE9:DXE21 DNI9:DNI21 DDM9:DDM21 CTQ9:CTQ21 CJU9:CJU21 BZY9:BZY21 BQC9:BQC21 BGG9:BGG21 AWK9:AWK21 AMO9:AMO21 ACS9:ACS21 SW9:SW21 JA9:JA21</xm:sqref>
        </x14:dataValidation>
      </x14:dataValidations>
    </ex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7:AB26"/>
  <sheetViews>
    <sheetView topLeftCell="B28" workbookViewId="0">
      <pane xSplit="1" topLeftCell="C1" activePane="topRight" state="frozen"/>
      <selection activeCell="B1" sqref="B1"/>
      <selection pane="topRight" activeCell="B9" sqref="A9:XFD21"/>
    </sheetView>
  </sheetViews>
  <sheetFormatPr baseColWidth="10" defaultColWidth="8.83203125" defaultRowHeight="14" x14ac:dyDescent="0"/>
  <cols>
    <col min="2" max="2" width="11.6640625" customWidth="1"/>
    <col min="3" max="3" width="8.6640625" customWidth="1"/>
    <col min="4" max="4" width="12.6640625" customWidth="1"/>
    <col min="6" max="6" width="11.5" customWidth="1"/>
    <col min="9" max="9" width="12.5" customWidth="1"/>
    <col min="11" max="11" width="12.5" customWidth="1"/>
    <col min="22" max="22" width="11.5" bestFit="1" customWidth="1"/>
  </cols>
  <sheetData>
    <row r="7" spans="1:28" ht="71" thickBot="1">
      <c r="B7" s="1" t="s">
        <v>0</v>
      </c>
      <c r="C7" s="18" t="str">
        <f>VLOOKUP($B7,'BaseLine Data'!$B7:$AS21,2,FALSE)</f>
        <v>Number of Housing Units</v>
      </c>
      <c r="D7" s="18" t="str">
        <f>VLOOKUP($B7,'BaseLine Data'!$B7:$AS21,3,FALSE)</f>
        <v>Location</v>
      </c>
      <c r="E7" s="18" t="str">
        <f>VLOOKUP($B7,'BaseLine Data'!$B7:$AS21,4,FALSE)</f>
        <v>Pre-DER Cond. Floor Area_x000D_(sq.ft.)</v>
      </c>
      <c r="F7" s="18" t="str">
        <f>VLOOKUP($B7,'BaseLine Data'!$B7:$AS21,5,FALSE)</f>
        <v>Building Type</v>
      </c>
      <c r="G7" s="18" t="str">
        <f>VLOOKUP($B7,'BaseLine Data'!$B7:$AS21,6,FALSE)</f>
        <v>Stories</v>
      </c>
      <c r="H7" s="18" t="str">
        <f>VLOOKUP($B7,'BaseLine Data'!$B7:$AS21,7,FALSE)</f>
        <v>Approx. Year Built</v>
      </c>
      <c r="I7" s="18" t="str">
        <f>VLOOKUP($B7,'BaseLine Data'!$B7:$AS21,8,FALSE)</f>
        <v>Status</v>
      </c>
      <c r="J7" s="18" t="str">
        <f>VLOOKUP($B7,'BaseLine Data'!$B7:$AS21,9,FALSE)</f>
        <v>Double checked numbers? (Y/N)</v>
      </c>
      <c r="K7" s="18" t="str">
        <f>VLOOKUP($B7,'BaseLine Data'!$B7:$AS21,10,FALSE)</f>
        <v>Source for Geometry Data</v>
      </c>
      <c r="L7" s="18" t="str">
        <f>VLOOKUP($B7,'BaseLine Data'!$B7:$AS21,11,FALSE)</f>
        <v>Pre-Retrofit Basement</v>
      </c>
      <c r="M7" s="18" t="str">
        <f>VLOOKUP($B7,'BaseLine Data'!$B7:$AS21,12,FALSE)</f>
        <v>Post Retrofit Basement</v>
      </c>
      <c r="N7" s="18" t="str">
        <f>VLOOKUP($B7,'BaseLine Data'!$B7:$AS21,13,FALSE)</f>
        <v>Pre-DER Cond. Floor Area_x000D_(sq.ft.)</v>
      </c>
      <c r="O7" s="18" t="str">
        <f>VLOOKUP($B7,'BaseLine Data'!$B7:$AS21,14,FALSE)</f>
        <v>Post-DER Con. Floor Area        (sq.ft.)</v>
      </c>
      <c r="P7" s="18" t="str">
        <f>VLOOKUP($B7,'BaseLine Data'!$B7:$AS21,15,FALSE)</f>
        <v>Pre-DER Enclosure Area (sf)</v>
      </c>
      <c r="Q7" s="18" t="str">
        <f>VLOOKUP($B7,'BaseLine Data'!$B7:$AS21,16,FALSE)</f>
        <v>Post-DER Enclosure Area (sf)</v>
      </c>
      <c r="R7" s="18" t="str">
        <f>VLOOKUP($B7,'BaseLine Data'!$B7:$AS21,17,FALSE)</f>
        <v>Pre-DER Volume (ft3)</v>
      </c>
      <c r="S7" s="18" t="str">
        <f>VLOOKUP($B7,'BaseLine Data'!$B7:$AS21,18,FALSE)</f>
        <v>Post-DER Volume (ft3)</v>
      </c>
      <c r="T7" s="18" t="str">
        <f>VLOOKUP($B7,'BaseLine Data'!$B7:$AS21,19,FALSE)</f>
        <v>Pre-DER   CFM 50</v>
      </c>
      <c r="U7" s="18" t="str">
        <f>VLOOKUP($B7,'BaseLine Data'!$B7:$AS21,20,FALSE)</f>
        <v>Post-DER CFM 50</v>
      </c>
      <c r="V7" s="18" t="str">
        <f>VLOOKUP($B7,'BaseLine Data'!$B7:$AS21,21,FALSE)</f>
        <v xml:space="preserve">Pre-DER   ACH 50 </v>
      </c>
      <c r="W7" s="18" t="str">
        <f>VLOOKUP($B7,'BaseLine Data'!$B7:$AS21,22,FALSE)</f>
        <v xml:space="preserve">Post-DER ACH 50 </v>
      </c>
      <c r="X7" s="18" t="str">
        <f>VLOOKUP($B7,'BaseLine Data'!$B7:$AS21,23,FALSE)</f>
        <v>Pre-DER   CFM 50 per Sq.Ft. of Enclosure</v>
      </c>
      <c r="Y7" s="18" t="str">
        <f>VLOOKUP($B7,'BaseLine Data'!$B7:$AS21,24,FALSE)</f>
        <v>Post-DER CFM 50 per Sq. Ft. of Enclosure</v>
      </c>
      <c r="Z7" s="18" t="str">
        <f>VLOOKUP($B7,'BaseLine Data'!$B7:$AS21,25,FALSE)</f>
        <v>Pre-DER CFM/sf Conditioned floor area</v>
      </c>
      <c r="AA7" s="18" t="str">
        <f>VLOOKUP($B7,'BaseLine Data'!$B7:$AS21,26,FALSE)</f>
        <v>Post-DER CFM/sf Conditioned floor area</v>
      </c>
      <c r="AB7" s="52" t="str">
        <f>VLOOKUP($B7,'BaseLine Data'!$B7:$AS21,44,FALSE)</f>
        <v>Sort Order</v>
      </c>
    </row>
    <row r="8" spans="1:28" ht="52">
      <c r="A8" s="9"/>
      <c r="B8" s="10" t="s">
        <v>23</v>
      </c>
      <c r="C8" s="11"/>
      <c r="D8" s="11"/>
      <c r="E8" s="11"/>
      <c r="F8" s="11"/>
      <c r="G8" s="11"/>
      <c r="H8" s="11"/>
      <c r="I8" s="11"/>
      <c r="J8" s="11"/>
      <c r="K8" s="11"/>
      <c r="L8" s="11"/>
      <c r="M8" s="11"/>
      <c r="N8" s="12"/>
      <c r="O8" s="13"/>
      <c r="P8" s="12"/>
      <c r="Q8" s="13"/>
      <c r="R8" s="12"/>
      <c r="S8" s="14"/>
      <c r="T8" s="15"/>
      <c r="U8" s="15"/>
      <c r="V8" s="16"/>
      <c r="W8" s="14"/>
      <c r="X8" s="15"/>
      <c r="Y8" s="14"/>
      <c r="Z8" s="15"/>
      <c r="AA8" s="14"/>
    </row>
    <row r="9" spans="1:28">
      <c r="A9" s="17" t="s">
        <v>24</v>
      </c>
      <c r="B9" s="18" t="s">
        <v>25</v>
      </c>
      <c r="C9" s="18">
        <f>VLOOKUP($B9,'BaseLine Data'!$B9:$AS21,2,FALSE)</f>
        <v>1</v>
      </c>
      <c r="D9" s="18" t="str">
        <f>VLOOKUP($B9,'BaseLine Data'!$B9:$AS21,3,FALSE)</f>
        <v>Belchertown</v>
      </c>
      <c r="E9" s="18">
        <f>VLOOKUP($B9,'BaseLine Data'!$B9:$AS21,4,FALSE)</f>
        <v>1352</v>
      </c>
      <c r="F9" s="18" t="str">
        <f>VLOOKUP($B9,'BaseLine Data'!$B9:$AS21,5,FALSE)</f>
        <v>Cape</v>
      </c>
      <c r="G9" s="18">
        <f>VLOOKUP($B9,'BaseLine Data'!$B9:$AS21,6,FALSE)</f>
        <v>1.5</v>
      </c>
      <c r="H9" s="18">
        <f>VLOOKUP($B9,'BaseLine Data'!$B9:$AS21,7,FALSE)</f>
        <v>1760</v>
      </c>
      <c r="I9" s="18" t="str">
        <f>VLOOKUP($B9,'BaseLine Data'!$B9:$AS21,8,FALSE)</f>
        <v>Complete</v>
      </c>
      <c r="J9" s="18" t="str">
        <f>VLOOKUP($B9,'BaseLine Data'!$B9:$AS21,9,FALSE)</f>
        <v>Y</v>
      </c>
      <c r="K9" s="18" t="str">
        <f>VLOOKUP($B9,'BaseLine Data'!$B9:$AS21,10,FALSE)</f>
        <v>W.A.G.</v>
      </c>
      <c r="L9" s="18" t="str">
        <f>VLOOKUP($B9,'BaseLine Data'!$B9:$AS21,11,FALSE)</f>
        <v>Excluded</v>
      </c>
      <c r="M9" s="18" t="str">
        <f>VLOOKUP($B9,'BaseLine Data'!$B9:$AS21,12,FALSE)</f>
        <v>Included</v>
      </c>
      <c r="N9" s="18">
        <f>VLOOKUP($B9,'BaseLine Data'!$B9:$AS21,13,FALSE)</f>
        <v>1435</v>
      </c>
      <c r="O9" s="18">
        <f>VLOOKUP($B9,'BaseLine Data'!$B9:$AS21,14,FALSE)</f>
        <v>1907</v>
      </c>
      <c r="P9" s="18">
        <f>VLOOKUP($B9,'BaseLine Data'!$B9:$AS21,15,FALSE)</f>
        <v>3726</v>
      </c>
      <c r="Q9" s="18">
        <f>VLOOKUP($B9,'BaseLine Data'!$B9:$AS21,16,FALSE)</f>
        <v>4066</v>
      </c>
      <c r="R9" s="18">
        <f>VLOOKUP($B9,'BaseLine Data'!$B9:$AS21,17,FALSE)</f>
        <v>9448</v>
      </c>
      <c r="S9" s="18">
        <f>VLOOKUP($B9,'BaseLine Data'!$B9:$AS21,18,FALSE)</f>
        <v>14972</v>
      </c>
      <c r="T9" s="18">
        <f>VLOOKUP($B9,'BaseLine Data'!$B9:$AS21,19,FALSE)</f>
        <v>9079</v>
      </c>
      <c r="U9" s="18">
        <f>VLOOKUP($B9,'BaseLine Data'!$B9:$AS21,20,FALSE)</f>
        <v>468</v>
      </c>
      <c r="V9" s="30">
        <f t="shared" ref="V9:W12" si="0">T9*60*(1/R9)</f>
        <v>57.656646909398809</v>
      </c>
      <c r="W9" s="30">
        <f t="shared" si="0"/>
        <v>1.8755009350788139</v>
      </c>
      <c r="X9" s="21">
        <f t="shared" ref="X9:X21" si="1">T9/P9</f>
        <v>2.4366612989801397</v>
      </c>
      <c r="Y9" s="22">
        <f t="shared" ref="Y9:Y21" si="2">U9/Q9</f>
        <v>0.11510083620265617</v>
      </c>
      <c r="Z9" s="21">
        <f t="shared" ref="Z9:Z21" si="3">T9/N9</f>
        <v>6.3268292682926832</v>
      </c>
      <c r="AA9" s="22">
        <f t="shared" ref="AA9:AA21" si="4">U9/O9</f>
        <v>0.2454116413214473</v>
      </c>
      <c r="AB9" s="52">
        <f>VLOOKUP($B9,'BaseLine Data'!$B$9:$AS$21,44,FALSE)</f>
        <v>1</v>
      </c>
    </row>
    <row r="10" spans="1:28" ht="28">
      <c r="A10" s="17" t="s">
        <v>24</v>
      </c>
      <c r="B10" s="24" t="s">
        <v>27</v>
      </c>
      <c r="C10" s="18">
        <f>VLOOKUP($B10,'BaseLine Data'!$B9:$AS21,2,FALSE)</f>
        <v>2</v>
      </c>
      <c r="D10" s="18" t="str">
        <f>VLOOKUP($B10,'BaseLine Data'!$B9:$AS21,3,FALSE)</f>
        <v>Belmont</v>
      </c>
      <c r="E10" s="18">
        <f>VLOOKUP($B10,'BaseLine Data'!$B9:$AS21,4,FALSE)</f>
        <v>2728</v>
      </c>
      <c r="F10" s="18" t="str">
        <f>VLOOKUP($B10,'BaseLine Data'!$B9:$AS21,5,FALSE)</f>
        <v>2 family</v>
      </c>
      <c r="G10" s="18">
        <f>VLOOKUP($B10,'BaseLine Data'!$B9:$AS21,6,FALSE)</f>
        <v>3</v>
      </c>
      <c r="H10" s="18">
        <f>VLOOKUP($B10,'BaseLine Data'!$B9:$AS21,7,FALSE)</f>
        <v>1925</v>
      </c>
      <c r="I10" s="18" t="str">
        <f>VLOOKUP($B10,'BaseLine Data'!$B9:$AS21,8,FALSE)</f>
        <v>Complete</v>
      </c>
      <c r="J10" s="18" t="str">
        <f>VLOOKUP($B10,'BaseLine Data'!$B9:$AS21,9,FALSE)</f>
        <v>Y</v>
      </c>
      <c r="K10" s="18">
        <f>VLOOKUP($B10,'BaseLine Data'!$B9:$AS21,10,FALSE)</f>
        <v>0</v>
      </c>
      <c r="L10" s="18" t="str">
        <f>VLOOKUP($B10,'BaseLine Data'!$B9:$AS21,11,FALSE)</f>
        <v>Excluded</v>
      </c>
      <c r="M10" s="18" t="str">
        <f>VLOOKUP($B10,'BaseLine Data'!$B9:$AS21,12,FALSE)</f>
        <v>Included</v>
      </c>
      <c r="N10" s="18">
        <f>VLOOKUP($B10,'BaseLine Data'!$B9:$AS21,13,FALSE)</f>
        <v>3417</v>
      </c>
      <c r="O10" s="18">
        <f>VLOOKUP($B10,'BaseLine Data'!$B9:$AS21,14,FALSE)</f>
        <v>4768</v>
      </c>
      <c r="P10" s="18">
        <f>VLOOKUP($B10,'BaseLine Data'!$B9:$AS21,15,FALSE)</f>
        <v>7468</v>
      </c>
      <c r="Q10" s="18">
        <f>VLOOKUP($B10,'BaseLine Data'!$B9:$AS21,16,FALSE)</f>
        <v>9093</v>
      </c>
      <c r="R10" s="18">
        <f>VLOOKUP($B10,'BaseLine Data'!$B9:$AS21,17,FALSE)</f>
        <v>36898</v>
      </c>
      <c r="S10" s="18">
        <f>VLOOKUP($B10,'BaseLine Data'!$B9:$AS21,18,FALSE)</f>
        <v>47706</v>
      </c>
      <c r="T10" s="18">
        <f>VLOOKUP($B10,'BaseLine Data'!$B9:$AS21,19,FALSE)</f>
        <v>5700</v>
      </c>
      <c r="U10" s="18">
        <f>VLOOKUP($B10,'BaseLine Data'!$B9:$AS21,20,FALSE)</f>
        <v>590</v>
      </c>
      <c r="V10" s="30">
        <f t="shared" si="0"/>
        <v>9.2687950566426363</v>
      </c>
      <c r="W10" s="30">
        <f t="shared" si="0"/>
        <v>0.74204502578292031</v>
      </c>
      <c r="X10" s="21">
        <f t="shared" si="1"/>
        <v>0.76325656132833419</v>
      </c>
      <c r="Y10" s="22">
        <f t="shared" si="2"/>
        <v>6.4885076432420544E-2</v>
      </c>
      <c r="Z10" s="21">
        <f t="shared" si="3"/>
        <v>1.6681299385425812</v>
      </c>
      <c r="AA10" s="22">
        <f t="shared" si="4"/>
        <v>0.12374161073825503</v>
      </c>
      <c r="AB10" s="52">
        <f>VLOOKUP($B10,'BaseLine Data'!$B$9:$AS$21,44,FALSE)</f>
        <v>2</v>
      </c>
    </row>
    <row r="11" spans="1:28">
      <c r="A11" s="17" t="s">
        <v>24</v>
      </c>
      <c r="B11" s="18" t="s">
        <v>28</v>
      </c>
      <c r="C11" s="18">
        <f>VLOOKUP($B11,'BaseLine Data'!$B9:$AS21,2,FALSE)</f>
        <v>1</v>
      </c>
      <c r="D11" s="18" t="str">
        <f>VLOOKUP($B11,'BaseLine Data'!$B9:$AS21,3,FALSE)</f>
        <v>Millbury</v>
      </c>
      <c r="E11" s="18">
        <f>VLOOKUP($B11,'BaseLine Data'!$B9:$AS21,4,FALSE)</f>
        <v>1100</v>
      </c>
      <c r="F11" s="18">
        <f>VLOOKUP($B11,'BaseLine Data'!$B9:$AS21,4,FALSE)</f>
        <v>1100</v>
      </c>
      <c r="G11" s="18">
        <f>VLOOKUP($B11,'BaseLine Data'!$B9:$AS21,6,FALSE)</f>
        <v>1.5</v>
      </c>
      <c r="H11" s="18">
        <f>VLOOKUP($B11,'BaseLine Data'!$B9:$AS21,7,FALSE)</f>
        <v>1953</v>
      </c>
      <c r="I11" s="18" t="str">
        <f>VLOOKUP($B11,'BaseLine Data'!$B9:$AS21,8,FALSE)</f>
        <v>Complete</v>
      </c>
      <c r="J11" s="18" t="str">
        <f>VLOOKUP($B11,'BaseLine Data'!$B9:$AS21,9,FALSE)</f>
        <v>?</v>
      </c>
      <c r="K11" s="18">
        <f>VLOOKUP($B11,'BaseLine Data'!$B9:$AS21,10,FALSE)</f>
        <v>0</v>
      </c>
      <c r="L11" s="18" t="str">
        <f>VLOOKUP($B11,'BaseLine Data'!$B9:$AS21,11,FALSE)</f>
        <v>Included</v>
      </c>
      <c r="M11" s="18" t="str">
        <f>VLOOKUP($B11,'BaseLine Data'!$B9:$AS21,12,FALSE)</f>
        <v>Included</v>
      </c>
      <c r="N11" s="18">
        <f>VLOOKUP($B11,'BaseLine Data'!$B9:$AS21,13,FALSE)</f>
        <v>1868</v>
      </c>
      <c r="O11" s="18">
        <f>VLOOKUP($B11,'BaseLine Data'!$B9:$AS21,14,FALSE)</f>
        <v>1868</v>
      </c>
      <c r="P11" s="18">
        <f>VLOOKUP($B11,'BaseLine Data'!$B9:$AS21,15,FALSE)</f>
        <v>4278</v>
      </c>
      <c r="Q11" s="18">
        <f>VLOOKUP($B11,'BaseLine Data'!$B9:$AS21,16,FALSE)</f>
        <v>4278</v>
      </c>
      <c r="R11" s="18">
        <f>VLOOKUP($B11,'BaseLine Data'!$B9:$AS21,17,FALSE)</f>
        <v>17000</v>
      </c>
      <c r="S11" s="18">
        <f>VLOOKUP($B11,'BaseLine Data'!$B9:$AS21,18,FALSE)</f>
        <v>17000</v>
      </c>
      <c r="T11" s="18">
        <f>VLOOKUP($B11,'BaseLine Data'!$B9:$AS21,19,FALSE)</f>
        <v>2860</v>
      </c>
      <c r="U11" s="18">
        <f>VLOOKUP($B11,'BaseLine Data'!$B9:$AS21,20,FALSE)</f>
        <v>402</v>
      </c>
      <c r="V11" s="30">
        <f t="shared" si="0"/>
        <v>10.094117647058823</v>
      </c>
      <c r="W11" s="28">
        <f t="shared" si="0"/>
        <v>1.4188235294117648</v>
      </c>
      <c r="X11" s="29">
        <f t="shared" si="1"/>
        <v>0.66853669939223936</v>
      </c>
      <c r="Y11" s="28">
        <f t="shared" si="2"/>
        <v>9.3969144460028048E-2</v>
      </c>
      <c r="Z11" s="29">
        <f t="shared" si="3"/>
        <v>1.5310492505353319</v>
      </c>
      <c r="AA11" s="28">
        <f t="shared" si="4"/>
        <v>0.21520342612419699</v>
      </c>
      <c r="AB11" s="52">
        <f>VLOOKUP($B11,'BaseLine Data'!$B$9:$AS$21,44,FALSE)</f>
        <v>3</v>
      </c>
    </row>
    <row r="12" spans="1:28" ht="28">
      <c r="A12" s="17" t="s">
        <v>24</v>
      </c>
      <c r="B12" s="18" t="s">
        <v>29</v>
      </c>
      <c r="C12" s="18">
        <f>VLOOKUP($B12,'BaseLine Data'!$B9:$AS21,2,FALSE)</f>
        <v>1</v>
      </c>
      <c r="D12" s="18" t="str">
        <f>VLOOKUP($B12,'BaseLine Data'!$B9:$AS21,3,FALSE)</f>
        <v>Milton</v>
      </c>
      <c r="E12" s="18">
        <f>VLOOKUP($B12,'BaseLine Data'!$B9:$AS21,4,FALSE)</f>
        <v>1600</v>
      </c>
      <c r="F12" s="18" t="str">
        <f>VLOOKUP($B12,'BaseLine Data'!$B9:$AS21,5,FALSE)</f>
        <v>Garrison Colonial</v>
      </c>
      <c r="G12" s="18">
        <f>VLOOKUP($B12,'BaseLine Data'!$B9:$AS21,6,FALSE)</f>
        <v>2</v>
      </c>
      <c r="H12" s="18">
        <f>VLOOKUP($B12,'BaseLine Data'!$B9:$AS21,7,FALSE)</f>
        <v>1960</v>
      </c>
      <c r="I12" s="18" t="str">
        <f>VLOOKUP($B12,'BaseLine Data'!$B9:$AS21,8,FALSE)</f>
        <v>Complete</v>
      </c>
      <c r="J12" s="18" t="str">
        <f>VLOOKUP($B12,'BaseLine Data'!$B9:$AS21,9,FALSE)</f>
        <v>Y</v>
      </c>
      <c r="K12" s="18" t="str">
        <f>VLOOKUP($B12,'BaseLine Data'!$B9:$AS21,10,FALSE)</f>
        <v>take-off from drawings</v>
      </c>
      <c r="L12" s="18" t="str">
        <f>VLOOKUP($B12,'BaseLine Data'!$B9:$AS21,11,FALSE)</f>
        <v>Included</v>
      </c>
      <c r="M12" s="18" t="str">
        <f>VLOOKUP($B12,'BaseLine Data'!$B9:$AS21,12,FALSE)</f>
        <v>Included</v>
      </c>
      <c r="N12" s="18">
        <f>VLOOKUP($B12,'BaseLine Data'!$B9:$AS21,13,FALSE)</f>
        <v>2368</v>
      </c>
      <c r="O12" s="18">
        <f>VLOOKUP($B12,'BaseLine Data'!$B9:$AS21,14,FALSE)</f>
        <v>2368</v>
      </c>
      <c r="P12" s="18">
        <f>VLOOKUP($B12,'BaseLine Data'!$B9:$AS21,15,FALSE)</f>
        <v>3408</v>
      </c>
      <c r="Q12" s="18">
        <f>VLOOKUP($B12,'BaseLine Data'!$B9:$AS21,16,FALSE)</f>
        <v>3740</v>
      </c>
      <c r="R12" s="18">
        <f>VLOOKUP($B12,'BaseLine Data'!$B9:$AS21,17,FALSE)</f>
        <v>22457.599999999999</v>
      </c>
      <c r="S12" s="18">
        <f>VLOOKUP($B12,'BaseLine Data'!$B9:$AS21,18,FALSE)</f>
        <v>24457.599999999999</v>
      </c>
      <c r="T12" s="18">
        <f>VLOOKUP($B12,'BaseLine Data'!$B9:$AS21,19,FALSE)</f>
        <v>1695</v>
      </c>
      <c r="U12" s="18">
        <f>VLOOKUP($B12,'BaseLine Data'!$B9:$AS21,20,FALSE)</f>
        <v>584</v>
      </c>
      <c r="V12" s="30">
        <f t="shared" si="0"/>
        <v>4.5285337703049304</v>
      </c>
      <c r="W12" s="28">
        <f t="shared" si="0"/>
        <v>1.4326835012429675</v>
      </c>
      <c r="X12" s="29">
        <f t="shared" si="1"/>
        <v>0.49735915492957744</v>
      </c>
      <c r="Y12" s="28">
        <f t="shared" si="2"/>
        <v>0.15614973262032086</v>
      </c>
      <c r="Z12" s="29">
        <f t="shared" si="3"/>
        <v>0.71579391891891897</v>
      </c>
      <c r="AA12" s="28">
        <f t="shared" si="4"/>
        <v>0.24662162162162163</v>
      </c>
      <c r="AB12" s="52">
        <f>VLOOKUP($B12,'BaseLine Data'!$B$9:$AS$21,44,FALSE)</f>
        <v>4</v>
      </c>
    </row>
    <row r="13" spans="1:28" ht="28">
      <c r="A13" s="17" t="s">
        <v>24</v>
      </c>
      <c r="B13" s="18" t="s">
        <v>30</v>
      </c>
      <c r="C13" s="18">
        <f>VLOOKUP($B13,'BaseLine Data'!$B9:$AS21,2,FALSE)</f>
        <v>1</v>
      </c>
      <c r="D13" s="18" t="str">
        <f>VLOOKUP($B13,'BaseLine Data'!$B9:$AT21,3,FALSE)</f>
        <v>Quincy</v>
      </c>
      <c r="E13" s="18">
        <f>VLOOKUP($B13,'BaseLine Data'!$B9:$AT21,4,FALSE)</f>
        <v>1808</v>
      </c>
      <c r="F13" s="18" t="str">
        <f>VLOOKUP($B13,'BaseLine Data'!$B9:$AT21,5,FALSE)</f>
        <v>bungalow</v>
      </c>
      <c r="G13" s="18">
        <f>VLOOKUP($B13,'BaseLine Data'!$B9:$AT21,6,FALSE)</f>
        <v>1.5</v>
      </c>
      <c r="H13" s="18">
        <f>VLOOKUP($B13,'BaseLine Data'!$B9:$AT21,7,FALSE)</f>
        <v>1905</v>
      </c>
      <c r="I13" s="18" t="str">
        <f>VLOOKUP($B13,'BaseLine Data'!$B9:$AT21,8,FALSE)</f>
        <v>Complete</v>
      </c>
      <c r="J13" s="18" t="str">
        <f>VLOOKUP($B13,'BaseLine Data'!$B9:$AT21,9,FALSE)</f>
        <v>Y</v>
      </c>
      <c r="K13" s="18" t="str">
        <f>VLOOKUP($B13,'BaseLine Data'!$B9:$AT21,10,FALSE)</f>
        <v>take-off from model</v>
      </c>
      <c r="L13" s="18" t="str">
        <f>VLOOKUP($B13,'BaseLine Data'!$B9:$AT21,11,FALSE)</f>
        <v>Included</v>
      </c>
      <c r="M13" s="18" t="str">
        <f>VLOOKUP($B13,'BaseLine Data'!$B9:$AT21,12,FALSE)</f>
        <v>Included</v>
      </c>
      <c r="N13" s="18">
        <f>VLOOKUP($B13,'BaseLine Data'!$B9:$AT21,13,FALSE)</f>
        <v>3484</v>
      </c>
      <c r="O13" s="18">
        <f>VLOOKUP($B13,'BaseLine Data'!$B9:$AT21,14,FALSE)</f>
        <v>4576</v>
      </c>
      <c r="P13" s="18">
        <f>VLOOKUP($B13,'BaseLine Data'!$B9:$AT21,15,FALSE)</f>
        <v>5340</v>
      </c>
      <c r="Q13" s="18">
        <f>VLOOKUP($B13,'BaseLine Data'!$B9:$AT21,16,FALSE)</f>
        <v>6806</v>
      </c>
      <c r="R13" s="18">
        <f>VLOOKUP($B13,'BaseLine Data'!$B9:$AT21,17,FALSE)</f>
        <v>16350</v>
      </c>
      <c r="S13" s="18">
        <f>VLOOKUP($B13,'BaseLine Data'!$B9:$AS21,18,FALSE)</f>
        <v>36346</v>
      </c>
      <c r="T13" s="18">
        <f>VLOOKUP($B13,'BaseLine Data'!$B9:$AS21,19,FALSE)</f>
        <v>5050</v>
      </c>
      <c r="U13" s="18">
        <f>VLOOKUP($B13,'BaseLine Data'!$B9:$AS21,20,FALSE)</f>
        <v>762</v>
      </c>
      <c r="V13" s="26">
        <v>18.53</v>
      </c>
      <c r="W13" s="28">
        <f t="shared" ref="W13:W21" si="5">U13*60*(1/S13)</f>
        <v>1.2579100863919002</v>
      </c>
      <c r="X13" s="29">
        <f t="shared" si="1"/>
        <v>0.94569288389513106</v>
      </c>
      <c r="Y13" s="28">
        <f t="shared" si="2"/>
        <v>0.11196003526300323</v>
      </c>
      <c r="Z13" s="29">
        <f t="shared" si="3"/>
        <v>1.4494833524684272</v>
      </c>
      <c r="AA13" s="28">
        <f t="shared" si="4"/>
        <v>0.16652097902097901</v>
      </c>
      <c r="AB13" s="52">
        <f>VLOOKUP($B13,'BaseLine Data'!$B$9:$AS$21,44,FALSE)</f>
        <v>5</v>
      </c>
    </row>
    <row r="14" spans="1:28" ht="28">
      <c r="A14" s="17" t="s">
        <v>24</v>
      </c>
      <c r="B14" s="18" t="s">
        <v>31</v>
      </c>
      <c r="C14" s="18">
        <f>VLOOKUP($B14,'BaseLine Data'!$B9:$AS21,2,FALSE)</f>
        <v>2</v>
      </c>
      <c r="D14" s="18" t="str">
        <f>VLOOKUP($B14,'BaseLine Data'!$B9:$AS21,3,FALSE)</f>
        <v>Arlington</v>
      </c>
      <c r="E14" s="18">
        <f>VLOOKUP($B14,'BaseLine Data'!$B9:$AS21,4,FALSE)</f>
        <v>2112</v>
      </c>
      <c r="F14" s="18" t="str">
        <f>VLOOKUP($B14,'BaseLine Data'!$B9:$AS21,5,FALSE)</f>
        <v>2 family</v>
      </c>
      <c r="G14" s="18">
        <f>VLOOKUP($B14,'BaseLine Data'!$B9:$AS21,6,FALSE)</f>
        <v>2</v>
      </c>
      <c r="H14" s="18">
        <f>VLOOKUP($B14,'BaseLine Data'!$B9:$AS21,7,FALSE)</f>
        <v>1910</v>
      </c>
      <c r="I14" s="18" t="str">
        <f>VLOOKUP($B14,'BaseLine Data'!$B9:$AS21,8,FALSE)</f>
        <v>Complete</v>
      </c>
      <c r="J14" s="18">
        <f>VLOOKUP($B14,'BaseLine Data'!$B9:$AS21,9,FALSE)</f>
        <v>0</v>
      </c>
      <c r="K14" s="18" t="str">
        <f>VLOOKUP($B14,'BaseLine Data'!$B9:$AS21,10,FALSE)</f>
        <v>take-off from drawings</v>
      </c>
      <c r="L14" s="18" t="str">
        <f>VLOOKUP($B14,'BaseLine Data'!$B9:$AS21,11,FALSE)</f>
        <v>Excluded</v>
      </c>
      <c r="M14" s="18" t="str">
        <f>VLOOKUP($B14,'BaseLine Data'!$B9:$AS21,12,FALSE)</f>
        <v>Excluded</v>
      </c>
      <c r="N14" s="18">
        <f>VLOOKUP($B14,'BaseLine Data'!$B9:$AS21,13,FALSE)</f>
        <v>2502</v>
      </c>
      <c r="O14" s="18">
        <f>VLOOKUP($B14,'BaseLine Data'!$B9:$AS21,14,FALSE)</f>
        <v>3627</v>
      </c>
      <c r="P14" s="18">
        <f>VLOOKUP($B14,'BaseLine Data'!$B9:$AS21,15,FALSE)</f>
        <v>5153</v>
      </c>
      <c r="Q14" s="18">
        <f>VLOOKUP($B14,'BaseLine Data'!$B9:$AS21,16,FALSE)</f>
        <v>5925</v>
      </c>
      <c r="R14" s="18">
        <f>VLOOKUP($B14,'BaseLine Data'!$B9:$AS21,17,FALSE)</f>
        <v>20157</v>
      </c>
      <c r="S14" s="18">
        <f>VLOOKUP($B14,'BaseLine Data'!$B9:$AS21,18,FALSE)</f>
        <v>29648</v>
      </c>
      <c r="T14" s="18">
        <f>VLOOKUP($B14,'BaseLine Data'!$B9:$AS21,19,FALSE)</f>
        <v>8730</v>
      </c>
      <c r="U14" s="18">
        <f>VLOOKUP($B14,'BaseLine Data'!$B9:$AS21,20,FALSE)</f>
        <v>3586</v>
      </c>
      <c r="V14" s="30">
        <f>T14*60*(1/R14)</f>
        <v>25.986009822890313</v>
      </c>
      <c r="W14" s="28">
        <f t="shared" si="5"/>
        <v>7.2571505666486775</v>
      </c>
      <c r="X14" s="29">
        <f t="shared" si="1"/>
        <v>1.6941587424801088</v>
      </c>
      <c r="Y14" s="28">
        <f t="shared" si="2"/>
        <v>0.60523206751054848</v>
      </c>
      <c r="Z14" s="31">
        <f t="shared" si="3"/>
        <v>3.4892086330935252</v>
      </c>
      <c r="AA14" s="32">
        <f t="shared" si="4"/>
        <v>0.98869589192169838</v>
      </c>
      <c r="AB14" s="52">
        <f>VLOOKUP($B14,'BaseLine Data'!$B$9:$AS$21,44,FALSE)</f>
        <v>6</v>
      </c>
    </row>
    <row r="15" spans="1:28">
      <c r="A15" s="17" t="s">
        <v>32</v>
      </c>
      <c r="B15" s="18" t="s">
        <v>33</v>
      </c>
      <c r="C15" s="18">
        <f>VLOOKUP($B15,'BaseLine Data'!$B9:$AS21,2,FALSE)</f>
        <v>1</v>
      </c>
      <c r="D15" s="18" t="str">
        <f>VLOOKUP($B15,'BaseLine Data'!$B9:$AS21,3,FALSE)</f>
        <v>Newton</v>
      </c>
      <c r="E15" s="18">
        <f>VLOOKUP($B15,'BaseLine Data'!$B9:$AS21,4,FALSE)</f>
        <v>1724</v>
      </c>
      <c r="F15" s="18" t="str">
        <f>VLOOKUP($B15,'BaseLine Data'!$B9:$AS21,5,FALSE)</f>
        <v>Colonial</v>
      </c>
      <c r="G15" s="18">
        <f>VLOOKUP($B15,'BaseLine Data'!$B9:$AS21,6,FALSE)</f>
        <v>1</v>
      </c>
      <c r="H15" s="18">
        <f>VLOOKUP($B15,'BaseLine Data'!$B9:$AS21,7,FALSE)</f>
        <v>1930</v>
      </c>
      <c r="I15" s="18" t="str">
        <f>VLOOKUP($B15,'BaseLine Data'!$B9:$AS21,8,FALSE)</f>
        <v>Complete</v>
      </c>
      <c r="J15" s="18" t="str">
        <f>VLOOKUP($B15,'BaseLine Data'!$B9:$AS21,9,FALSE)</f>
        <v>Y</v>
      </c>
      <c r="K15" s="18">
        <f>VLOOKUP($B15,'BaseLine Data'!$B9:$AS21,10,FALSE)</f>
        <v>0</v>
      </c>
      <c r="L15" s="18">
        <f>VLOOKUP($B15,'BaseLine Data'!$B9:$AS21,11,FALSE)</f>
        <v>0</v>
      </c>
      <c r="M15" s="18">
        <f>VLOOKUP($B15,'BaseLine Data'!$B9:$AS21,12,FALSE)</f>
        <v>0</v>
      </c>
      <c r="N15" s="18">
        <f>VLOOKUP($B15,'BaseLine Data'!$B9:$AS21,13,FALSE)</f>
        <v>1815</v>
      </c>
      <c r="O15" s="18">
        <f>VLOOKUP($B15,'BaseLine Data'!$B9:$AS21,14,FALSE)</f>
        <v>2199</v>
      </c>
      <c r="P15" s="18">
        <f>VLOOKUP($B15,'BaseLine Data'!$B9:$AS21,15,FALSE)</f>
        <v>3729</v>
      </c>
      <c r="Q15" s="18">
        <f>VLOOKUP($B15,'BaseLine Data'!$B9:$AS21,16,FALSE)</f>
        <v>4337</v>
      </c>
      <c r="R15" s="18">
        <f>VLOOKUP($B15,'BaseLine Data'!$B9:$AS21,17,FALSE)</f>
        <v>18831</v>
      </c>
      <c r="S15" s="18">
        <f>VLOOKUP($B15,'BaseLine Data'!$B9:$AS21,18,FALSE)</f>
        <v>21904</v>
      </c>
      <c r="T15" s="18">
        <f>VLOOKUP($B15,'BaseLine Data'!$B9:$AS21,19,FALSE)</f>
        <v>3199</v>
      </c>
      <c r="U15" s="18">
        <f>VLOOKUP($B15,'BaseLine Data'!$B9:$AS21,20,FALSE)</f>
        <v>1299</v>
      </c>
      <c r="V15" s="30">
        <f>T15*60*(1/R15)</f>
        <v>10.192767245499441</v>
      </c>
      <c r="W15" s="28">
        <f t="shared" si="5"/>
        <v>3.558254200146092</v>
      </c>
      <c r="X15" s="29">
        <f t="shared" si="1"/>
        <v>0.857870742826495</v>
      </c>
      <c r="Y15" s="28">
        <f t="shared" si="2"/>
        <v>0.29951579432787639</v>
      </c>
      <c r="Z15" s="29">
        <f t="shared" si="3"/>
        <v>1.7625344352617081</v>
      </c>
      <c r="AA15" s="28">
        <f t="shared" si="4"/>
        <v>0.59072305593451568</v>
      </c>
      <c r="AB15" s="52">
        <f>VLOOKUP($B15,'BaseLine Data'!$B$9:$AS$21,44,FALSE)</f>
        <v>7</v>
      </c>
    </row>
    <row r="16" spans="1:28">
      <c r="A16" s="17" t="s">
        <v>24</v>
      </c>
      <c r="B16" s="18" t="s">
        <v>34</v>
      </c>
      <c r="C16" s="18">
        <f>VLOOKUP($B16,'BaseLine Data'!$B9:$AS21,2,FALSE)</f>
        <v>3</v>
      </c>
      <c r="D16" s="18" t="str">
        <f>VLOOKUP($B16,'BaseLine Data'!$B9:$AS21,3,FALSE)</f>
        <v>Jamaica Plain</v>
      </c>
      <c r="E16" s="18">
        <f>VLOOKUP($B16,'BaseLine Data'!$B9:$AS21,4,FALSE)</f>
        <v>3885</v>
      </c>
      <c r="F16" s="18" t="str">
        <f>VLOOKUP($B16,'BaseLine Data'!$B9:$AS21,5,FALSE)</f>
        <v>3-family</v>
      </c>
      <c r="G16" s="18">
        <f>VLOOKUP($B16,'BaseLine Data'!$B9:$AS21,6,FALSE)</f>
        <v>3</v>
      </c>
      <c r="H16" s="18">
        <f>VLOOKUP($B16,'BaseLine Data'!$B9:$AS21,7,FALSE)</f>
        <v>1907</v>
      </c>
      <c r="I16" s="18" t="str">
        <f>VLOOKUP($B16,'BaseLine Data'!$B9:$AS21,8,FALSE)</f>
        <v>Complete</v>
      </c>
      <c r="J16" s="18">
        <f>VLOOKUP($B16,'BaseLine Data'!$B9:$AS21,9,FALSE)</f>
        <v>0</v>
      </c>
      <c r="K16" s="18">
        <f>VLOOKUP($B16,'BaseLine Data'!$B9:$AS21,10,FALSE)</f>
        <v>0</v>
      </c>
      <c r="L16" s="18">
        <f>VLOOKUP($B16,'BaseLine Data'!$B9:$AS21,11,FALSE)</f>
        <v>0</v>
      </c>
      <c r="M16" s="18">
        <f>VLOOKUP($B16,'BaseLine Data'!$B9:$AS21,12,FALSE)</f>
        <v>0</v>
      </c>
      <c r="N16" s="18">
        <f>VLOOKUP($B16,'BaseLine Data'!$B9:$AS21,13,FALSE)</f>
        <v>3885</v>
      </c>
      <c r="O16" s="18">
        <f>VLOOKUP($B16,'BaseLine Data'!$B9:$AS21,14,FALSE)</f>
        <v>3885</v>
      </c>
      <c r="P16" s="18">
        <f>VLOOKUP($B16,'BaseLine Data'!$B9:$AS21,15,FALSE)</f>
        <v>6308</v>
      </c>
      <c r="Q16" s="18">
        <f>VLOOKUP($B16,'BaseLine Data'!$B9:$AS21,16,FALSE)</f>
        <v>7456</v>
      </c>
      <c r="R16" s="18">
        <f>VLOOKUP($B16,'BaseLine Data'!$B9:$AS21,17,FALSE)</f>
        <v>42586</v>
      </c>
      <c r="S16" s="18">
        <f>VLOOKUP($B16,'BaseLine Data'!$B9:$AS21,18,FALSE)</f>
        <v>42586</v>
      </c>
      <c r="T16" s="18">
        <f>VLOOKUP($B16,'BaseLine Data'!$B9:$AS21,19,FALSE)</f>
        <v>7729</v>
      </c>
      <c r="U16" s="18">
        <f>VLOOKUP($B16,'BaseLine Data'!$B9:$AS21,20,FALSE)</f>
        <v>1802</v>
      </c>
      <c r="V16" s="30">
        <f>T16*60*(1/R16)</f>
        <v>10.889494199971821</v>
      </c>
      <c r="W16" s="28">
        <f t="shared" si="5"/>
        <v>2.5388625369839852</v>
      </c>
      <c r="X16" s="29">
        <f t="shared" si="1"/>
        <v>1.2252694990488269</v>
      </c>
      <c r="Y16" s="28">
        <f t="shared" si="2"/>
        <v>0.24168454935622319</v>
      </c>
      <c r="Z16" s="29">
        <f t="shared" si="3"/>
        <v>1.9894465894465894</v>
      </c>
      <c r="AA16" s="28">
        <f t="shared" si="4"/>
        <v>0.46383526383526386</v>
      </c>
      <c r="AB16" s="52">
        <f>VLOOKUP($B16,'BaseLine Data'!$B$9:$AS$21,44,FALSE)</f>
        <v>8</v>
      </c>
    </row>
    <row r="17" spans="1:28">
      <c r="A17" s="17" t="s">
        <v>24</v>
      </c>
      <c r="B17" s="18" t="s">
        <v>35</v>
      </c>
      <c r="C17" s="18">
        <f>VLOOKUP($B17,'BaseLine Data'!$B9:$AS21,2,FALSE)</f>
        <v>1</v>
      </c>
      <c r="D17" s="18" t="str">
        <f>VLOOKUP($B17,'BaseLine Data'!$B9:$AS21,3,FALSE)</f>
        <v>Northampton</v>
      </c>
      <c r="E17" s="18">
        <f>VLOOKUP($B17,'BaseLine Data'!$B9:$AS21,4,FALSE)</f>
        <v>2032</v>
      </c>
      <c r="F17" s="18" t="str">
        <f>VLOOKUP($B17,'BaseLine Data'!$B9:$AS21,5,FALSE)</f>
        <v>Victorian</v>
      </c>
      <c r="G17" s="18">
        <f>VLOOKUP($B17,'BaseLine Data'!$B9:$AS21,6,FALSE)</f>
        <v>1</v>
      </c>
      <c r="H17" s="18">
        <f>VLOOKUP($B17,'BaseLine Data'!$B9:$AS21,7,FALSE)</f>
        <v>1859</v>
      </c>
      <c r="I17" s="18" t="str">
        <f>VLOOKUP($B17,'BaseLine Data'!$B9:$AS21,8,FALSE)</f>
        <v>Complete</v>
      </c>
      <c r="J17" s="18">
        <f>VLOOKUP($B17,'BaseLine Data'!$B9:$AS21,9,FALSE)</f>
        <v>0</v>
      </c>
      <c r="K17" s="18">
        <f>VLOOKUP($B17,'BaseLine Data'!$B9:$AS21,10,FALSE)</f>
        <v>0</v>
      </c>
      <c r="L17" s="18">
        <f>VLOOKUP($B17,'BaseLine Data'!$B9:$AS21,11,FALSE)</f>
        <v>0</v>
      </c>
      <c r="M17" s="18" t="str">
        <f>VLOOKUP($B17,'BaseLine Data'!$B9:$AS21,12,FALSE)</f>
        <v>Included</v>
      </c>
      <c r="N17" s="18">
        <f>VLOOKUP($B17,'BaseLine Data'!$B9:$AS21,13,FALSE)</f>
        <v>2032</v>
      </c>
      <c r="O17" s="18">
        <f>VLOOKUP($B17,'BaseLine Data'!$B9:$AS21,14,FALSE)</f>
        <v>2747</v>
      </c>
      <c r="P17" s="18">
        <f>VLOOKUP($B17,'BaseLine Data'!$B9:$AS21,15,FALSE)</f>
        <v>6711</v>
      </c>
      <c r="Q17" s="18">
        <f>VLOOKUP($B17,'BaseLine Data'!$B9:$AS21,16,FALSE)</f>
        <v>7798</v>
      </c>
      <c r="R17" s="18">
        <f>VLOOKUP($B17,'BaseLine Data'!$B9:$AS21,17,FALSE)</f>
        <v>0</v>
      </c>
      <c r="S17" s="18">
        <f>VLOOKUP($B17,'BaseLine Data'!$B9:$AS21,18,FALSE)</f>
        <v>34624</v>
      </c>
      <c r="T17" s="18">
        <f>VLOOKUP($B17,'BaseLine Data'!$B9:$AS21,19,FALSE)</f>
        <v>6155</v>
      </c>
      <c r="U17" s="18">
        <f>VLOOKUP($B17,'BaseLine Data'!$B9:$AS21,20,FALSE)</f>
        <v>473</v>
      </c>
      <c r="V17" s="30"/>
      <c r="W17" s="28">
        <f t="shared" si="5"/>
        <v>0.81966266173752311</v>
      </c>
      <c r="X17" s="29">
        <f t="shared" si="1"/>
        <v>0.91715094620771864</v>
      </c>
      <c r="Y17" s="28">
        <f t="shared" si="2"/>
        <v>6.0656578609899973E-2</v>
      </c>
      <c r="Z17" s="29">
        <f t="shared" si="3"/>
        <v>3.0290354330708662</v>
      </c>
      <c r="AA17" s="28">
        <f t="shared" si="4"/>
        <v>0.17218784128139789</v>
      </c>
      <c r="AB17" s="52">
        <f>VLOOKUP($B17,'BaseLine Data'!$B$9:$AS$21,44,FALSE)</f>
        <v>9</v>
      </c>
    </row>
    <row r="18" spans="1:28" ht="70">
      <c r="A18" s="17" t="s">
        <v>24</v>
      </c>
      <c r="B18" s="18" t="s">
        <v>36</v>
      </c>
      <c r="C18" s="18">
        <f>VLOOKUP($B18,'BaseLine Data'!$B9:$AS21,2,FALSE)</f>
        <v>1</v>
      </c>
      <c r="D18" s="18" t="str">
        <f>VLOOKUP($B18,'BaseLine Data'!$B9:$AS21,3,FALSE)</f>
        <v>Lancaster</v>
      </c>
      <c r="E18" s="18">
        <f>VLOOKUP($B18,'BaseLine Data'!$B9:$AS21,4,FALSE)</f>
        <v>908</v>
      </c>
      <c r="F18" s="18" t="str">
        <f>VLOOKUP($B18,'BaseLine Data'!$B9:$AS21,5,FALSE)</f>
        <v>Cape to Colonial</v>
      </c>
      <c r="G18" s="18">
        <f>VLOOKUP($B18,'BaseLine Data'!$B9:$AS21,6,FALSE)</f>
        <v>2</v>
      </c>
      <c r="H18" s="18">
        <f>VLOOKUP($B18,'BaseLine Data'!$B9:$AS21,7,FALSE)</f>
        <v>1900</v>
      </c>
      <c r="I18" s="18" t="str">
        <f>VLOOKUP($B18,'BaseLine Data'!$B9:$AS21,8,FALSE)</f>
        <v>Complete</v>
      </c>
      <c r="J18" s="18" t="str">
        <f>VLOOKUP($B18,'BaseLine Data'!$B9:$AS21,9,FALSE)</f>
        <v>Y</v>
      </c>
      <c r="K18" s="18">
        <f>VLOOKUP($B18,'BaseLine Data'!$B9:$AS21,10,FALSE)</f>
        <v>0</v>
      </c>
      <c r="L18" s="18">
        <f>VLOOKUP($B18,'BaseLine Data'!$B9:$AS21,11,FALSE)</f>
        <v>0</v>
      </c>
      <c r="M18" s="18">
        <f>VLOOKUP($B18,'BaseLine Data'!$B9:$AS21,12,FALSE)</f>
        <v>0</v>
      </c>
      <c r="N18" s="18">
        <f>VLOOKUP($B18,'BaseLine Data'!$B9:$AS21,13,FALSE)</f>
        <v>980</v>
      </c>
      <c r="O18" s="18">
        <f>VLOOKUP($B18,'BaseLine Data'!$B9:$AS21,14,FALSE)</f>
        <v>1440</v>
      </c>
      <c r="P18" s="18">
        <f>VLOOKUP($B18,'BaseLine Data'!$B9:$AS21,15,FALSE)</f>
        <v>2583</v>
      </c>
      <c r="Q18" s="18">
        <f>VLOOKUP($B18,'BaseLine Data'!$B9:$AS21,16,FALSE)</f>
        <v>3222</v>
      </c>
      <c r="R18" s="18">
        <f>VLOOKUP($B18,'BaseLine Data'!$B9:$AS21,17,FALSE)</f>
        <v>7080</v>
      </c>
      <c r="S18" s="18">
        <f>VLOOKUP($B18,'BaseLine Data'!$B9:$AS21,18,FALSE)</f>
        <v>12336</v>
      </c>
      <c r="T18" s="18">
        <f>VLOOKUP($B18,'BaseLine Data'!$B9:$AS21,19,FALSE)</f>
        <v>4254</v>
      </c>
      <c r="U18" s="18">
        <f>VLOOKUP($B18,'BaseLine Data'!$B9:$AS21,20,FALSE)</f>
        <v>293</v>
      </c>
      <c r="V18" s="30">
        <f>T18*60*(1/R18)</f>
        <v>36.050847457627121</v>
      </c>
      <c r="W18" s="28">
        <f t="shared" si="5"/>
        <v>1.4250972762645915</v>
      </c>
      <c r="X18" s="29">
        <f t="shared" si="1"/>
        <v>1.6469221835075494</v>
      </c>
      <c r="Y18" s="28">
        <f t="shared" si="2"/>
        <v>9.0937306021104905E-2</v>
      </c>
      <c r="Z18" s="29">
        <f t="shared" si="3"/>
        <v>4.3408163265306126</v>
      </c>
      <c r="AA18" s="28">
        <f t="shared" si="4"/>
        <v>0.20347222222222222</v>
      </c>
      <c r="AB18" s="52">
        <f>VLOOKUP($B18,'BaseLine Data'!$B$9:$AS$21,44,FALSE)</f>
        <v>10</v>
      </c>
    </row>
    <row r="19" spans="1:28">
      <c r="A19" s="17" t="s">
        <v>24</v>
      </c>
      <c r="B19" s="18" t="s">
        <v>37</v>
      </c>
      <c r="C19" s="18">
        <f>VLOOKUP($B19,'BaseLine Data'!$B9:$AS21,2,FALSE)</f>
        <v>1</v>
      </c>
      <c r="D19" s="18" t="str">
        <f>VLOOKUP($B19,'BaseLine Data'!$B9:$AS21,3,FALSE)</f>
        <v>Brookline</v>
      </c>
      <c r="E19" s="18">
        <f>VLOOKUP($B19,'BaseLine Data'!$B9:$AS21,4,FALSE)</f>
        <v>2284</v>
      </c>
      <c r="F19" s="18" t="str">
        <f>VLOOKUP($B19,'BaseLine Data'!$B9:$AS21,5,FALSE)</f>
        <v>Victorian</v>
      </c>
      <c r="G19" s="18">
        <f>VLOOKUP($B19,'BaseLine Data'!$B9:$AS21,6,FALSE)</f>
        <v>3</v>
      </c>
      <c r="H19" s="18">
        <f>VLOOKUP($B19,'BaseLine Data'!$B9:$AS21,7,FALSE)</f>
        <v>1899</v>
      </c>
      <c r="I19" s="18" t="str">
        <f>VLOOKUP($B19,'BaseLine Data'!$B9:$AS21,8,FALSE)</f>
        <v>Complete</v>
      </c>
      <c r="J19" s="18">
        <f>VLOOKUP($B19,'BaseLine Data'!$B9:$AS21,9,FALSE)</f>
        <v>0</v>
      </c>
      <c r="K19" s="18">
        <f>VLOOKUP($B19,'BaseLine Data'!$B9:$AS21,10,FALSE)</f>
        <v>0</v>
      </c>
      <c r="L19" s="18">
        <f>VLOOKUP($B19,'BaseLine Data'!$B9:$AS21,11,FALSE)</f>
        <v>0</v>
      </c>
      <c r="M19" s="18">
        <f>VLOOKUP($B19,'BaseLine Data'!$B9:$AS21,12,FALSE)</f>
        <v>0</v>
      </c>
      <c r="N19" s="18">
        <f>VLOOKUP($B19,'BaseLine Data'!$B9:$AS21,13,FALSE)</f>
        <v>3078</v>
      </c>
      <c r="O19" s="18">
        <f>VLOOKUP($B19,'BaseLine Data'!$B9:$AS21,14,FALSE)</f>
        <v>3174</v>
      </c>
      <c r="P19" s="18">
        <f>VLOOKUP($B19,'BaseLine Data'!$B9:$AS21,15,FALSE)</f>
        <v>5794</v>
      </c>
      <c r="Q19" s="18">
        <f>VLOOKUP($B19,'BaseLine Data'!$B9:$AS21,16,FALSE)</f>
        <v>5924</v>
      </c>
      <c r="R19" s="18">
        <f>VLOOKUP($B19,'BaseLine Data'!$B9:$AS21,17,FALSE)</f>
        <v>26187</v>
      </c>
      <c r="S19" s="18">
        <f>VLOOKUP($B19,'BaseLine Data'!$B9:$AS21,18,FALSE)</f>
        <v>26187</v>
      </c>
      <c r="T19" s="18">
        <f>VLOOKUP($B19,'BaseLine Data'!$B9:$AS21,19,FALSE)</f>
        <v>1640</v>
      </c>
      <c r="U19" s="18">
        <f>VLOOKUP($B19,'BaseLine Data'!$B9:$AS21,20,FALSE)</f>
        <v>655</v>
      </c>
      <c r="V19" s="30">
        <f>T19*60*(1/R19)</f>
        <v>3.7575896437163481</v>
      </c>
      <c r="W19" s="28">
        <f t="shared" si="5"/>
        <v>1.5007446442891512</v>
      </c>
      <c r="X19" s="29">
        <f t="shared" si="1"/>
        <v>0.28305143251639625</v>
      </c>
      <c r="Y19" s="28">
        <f t="shared" si="2"/>
        <v>0.11056718433490885</v>
      </c>
      <c r="Z19" s="29">
        <f t="shared" si="3"/>
        <v>0.53281351526965559</v>
      </c>
      <c r="AA19" s="28">
        <f t="shared" si="4"/>
        <v>0.20636420919974796</v>
      </c>
      <c r="AB19" s="52">
        <f>VLOOKUP($B19,'BaseLine Data'!$B$9:$AS$21,44,FALSE)</f>
        <v>11</v>
      </c>
    </row>
    <row r="20" spans="1:28">
      <c r="A20" s="17" t="s">
        <v>24</v>
      </c>
      <c r="B20" s="18" t="s">
        <v>38</v>
      </c>
      <c r="C20" s="18">
        <f>VLOOKUP($B20,'BaseLine Data'!$B9:$AS21,2,FALSE)</f>
        <v>1</v>
      </c>
      <c r="D20" s="18" t="str">
        <f>VLOOKUP($B20,'BaseLine Data'!$B9:$AS21,3,FALSE)</f>
        <v>Westford</v>
      </c>
      <c r="E20" s="18">
        <f>VLOOKUP($B20,'BaseLine Data'!$B9:$AS21,4,FALSE)</f>
        <v>2906</v>
      </c>
      <c r="F20" s="18" t="str">
        <f>VLOOKUP($B20,'BaseLine Data'!$B9:$AS21,5,FALSE)</f>
        <v>Colonial</v>
      </c>
      <c r="G20" s="18">
        <f>VLOOKUP($B20,'BaseLine Data'!$B9:$AS21,6,FALSE)</f>
        <v>2</v>
      </c>
      <c r="H20" s="18">
        <f>VLOOKUP($B20,'BaseLine Data'!$B9:$AS21,7,FALSE)</f>
        <v>1993</v>
      </c>
      <c r="I20" s="18" t="str">
        <f>VLOOKUP($B20,'BaseLine Data'!$B9:$AS21,8,FALSE)</f>
        <v>Complete</v>
      </c>
      <c r="J20" s="18">
        <f>VLOOKUP($B20,'BaseLine Data'!$B9:$AS21,9,FALSE)</f>
        <v>0</v>
      </c>
      <c r="K20" s="18" t="str">
        <f>VLOOKUP($B20,'BaseLine Data'!$B9:$AS21,10,FALSE)</f>
        <v>application</v>
      </c>
      <c r="L20" s="18">
        <f>VLOOKUP($B20,'BaseLine Data'!$B9:$AS21,11,FALSE)</f>
        <v>0</v>
      </c>
      <c r="M20" s="18">
        <f>VLOOKUP($B20,'BaseLine Data'!$B9:$AS21,12,FALSE)</f>
        <v>0</v>
      </c>
      <c r="N20" s="18">
        <f>VLOOKUP($B20,'BaseLine Data'!$B9:$AS21,13,FALSE)</f>
        <v>2906</v>
      </c>
      <c r="O20" s="18">
        <f>VLOOKUP($B20,'BaseLine Data'!$B9:$AS21,14,FALSE)</f>
        <v>3955</v>
      </c>
      <c r="P20" s="18">
        <f>VLOOKUP($B20,'BaseLine Data'!$B9:$AS21,15,FALSE)</f>
        <v>7325</v>
      </c>
      <c r="Q20" s="18">
        <f>VLOOKUP($B20,'BaseLine Data'!$B9:$AS21,16,FALSE)</f>
        <v>9538</v>
      </c>
      <c r="R20" s="18">
        <f>VLOOKUP($B20,'BaseLine Data'!$B9:$AS21,17,FALSE)</f>
        <v>32226</v>
      </c>
      <c r="S20" s="18">
        <f>VLOOKUP($B20,'BaseLine Data'!$B9:$AS21,18,FALSE)</f>
        <v>44475</v>
      </c>
      <c r="T20" s="18">
        <f>VLOOKUP($B20,'BaseLine Data'!$B9:$AS21,19,FALSE)</f>
        <v>2592</v>
      </c>
      <c r="U20" s="18">
        <f>VLOOKUP($B20,'BaseLine Data'!$B9:$AS21,20,FALSE)</f>
        <v>930</v>
      </c>
      <c r="V20" s="30">
        <f>T20*60*(1/R20)</f>
        <v>4.8259169614596908</v>
      </c>
      <c r="W20" s="28">
        <f t="shared" si="5"/>
        <v>1.2546374367622262</v>
      </c>
      <c r="X20" s="29">
        <f t="shared" si="1"/>
        <v>0.35385665529010241</v>
      </c>
      <c r="Y20" s="34">
        <f t="shared" si="2"/>
        <v>9.7504717970224364E-2</v>
      </c>
      <c r="Z20" s="29">
        <f t="shared" si="3"/>
        <v>0.89194769442532695</v>
      </c>
      <c r="AA20" s="28">
        <f t="shared" si="4"/>
        <v>0.23514538558786346</v>
      </c>
      <c r="AB20" s="52">
        <f>VLOOKUP($B20,'BaseLine Data'!$B$9:$AS$21,44,FALSE)</f>
        <v>12</v>
      </c>
    </row>
    <row r="21" spans="1:28">
      <c r="A21" s="17" t="s">
        <v>24</v>
      </c>
      <c r="B21" s="18" t="s">
        <v>40</v>
      </c>
      <c r="C21" s="18">
        <f>VLOOKUP($B21,'BaseLine Data'!$B9:$AS21,2,FALSE)</f>
        <v>1</v>
      </c>
      <c r="D21" s="18" t="str">
        <f>VLOOKUP($B21,'BaseLine Data'!$B9:$AS21,3,FALSE)</f>
        <v>Gloucester</v>
      </c>
      <c r="E21" s="18">
        <f>VLOOKUP($B21,'BaseLine Data'!$B9:$AS21,4,FALSE)</f>
        <v>2171</v>
      </c>
      <c r="F21" s="18" t="str">
        <f>VLOOKUP($B21,'BaseLine Data'!$B9:$AS21,5,FALSE)</f>
        <v>Single family</v>
      </c>
      <c r="G21" s="18">
        <f>VLOOKUP($B21,'BaseLine Data'!$B9:$AS21,6,FALSE)</f>
        <v>2</v>
      </c>
      <c r="H21" s="18">
        <f>VLOOKUP($B21,'BaseLine Data'!$B9:$AS21,7,FALSE)</f>
        <v>1920</v>
      </c>
      <c r="I21" s="18" t="str">
        <f>VLOOKUP($B21,'BaseLine Data'!$B9:$AS21,8,FALSE)</f>
        <v>Complete</v>
      </c>
      <c r="J21" s="18">
        <f>VLOOKUP($B21,'BaseLine Data'!$B9:$AS21,9,FALSE)</f>
        <v>0</v>
      </c>
      <c r="K21" s="18" t="str">
        <f>VLOOKUP($B21,'BaseLine Data'!$B9:$AS21,10,FALSE)</f>
        <v>application</v>
      </c>
      <c r="L21" s="18">
        <f>VLOOKUP($B21,'BaseLine Data'!$B9:$AS21,11,FALSE)</f>
        <v>0</v>
      </c>
      <c r="M21" s="18">
        <f>VLOOKUP($B21,'BaseLine Data'!$B9:$AS21,12,FALSE)</f>
        <v>0</v>
      </c>
      <c r="N21" s="18">
        <f>VLOOKUP($B21,'BaseLine Data'!$B9:$AS21,13,FALSE)</f>
        <v>2171</v>
      </c>
      <c r="O21" s="18">
        <f>VLOOKUP($B21,'BaseLine Data'!$B9:$AS21,14,FALSE)</f>
        <v>2424</v>
      </c>
      <c r="P21" s="18">
        <f>VLOOKUP($B21,'BaseLine Data'!$B9:$AS21,15,FALSE)</f>
        <v>5325</v>
      </c>
      <c r="Q21" s="18">
        <f>VLOOKUP($B21,'BaseLine Data'!$B9:$AS21,16,FALSE)</f>
        <v>6493</v>
      </c>
      <c r="R21" s="18">
        <f>VLOOKUP($B21,'BaseLine Data'!$B9:$AS21,17,FALSE)</f>
        <v>0</v>
      </c>
      <c r="S21" s="18">
        <f>VLOOKUP($B21,'BaseLine Data'!$B9:$AS21,18,FALSE)</f>
        <v>23285</v>
      </c>
      <c r="T21" s="18">
        <f>VLOOKUP($B21,'BaseLine Data'!$B9:$AS21,19,FALSE)</f>
        <v>2258</v>
      </c>
      <c r="U21" s="18">
        <f>VLOOKUP($B21,'BaseLine Data'!$B9:$AS21,20,FALSE)</f>
        <v>235</v>
      </c>
      <c r="V21" s="30" t="e">
        <f>T21*60*(1/R21)</f>
        <v>#DIV/0!</v>
      </c>
      <c r="W21" s="28">
        <f t="shared" si="5"/>
        <v>0.60554004724071286</v>
      </c>
      <c r="X21" s="29">
        <f t="shared" si="1"/>
        <v>0.42403755868544601</v>
      </c>
      <c r="Y21" s="34">
        <f t="shared" si="2"/>
        <v>3.6192823040197136E-2</v>
      </c>
      <c r="Z21" s="29">
        <f t="shared" si="3"/>
        <v>1.0400736987563335</v>
      </c>
      <c r="AA21" s="28">
        <f t="shared" si="4"/>
        <v>9.6947194719471941E-2</v>
      </c>
      <c r="AB21" s="52">
        <f>VLOOKUP($B21,'BaseLine Data'!$B$9:$AS$21,44,FALSE)</f>
        <v>14</v>
      </c>
    </row>
    <row r="23" spans="1:28">
      <c r="B23" s="51"/>
      <c r="O23" s="50"/>
      <c r="U23" s="47"/>
      <c r="V23" s="45"/>
      <c r="W23" s="47"/>
      <c r="X23" s="45"/>
      <c r="Y23" s="47"/>
      <c r="AA23" s="45"/>
    </row>
    <row r="24" spans="1:28">
      <c r="B24" s="51"/>
      <c r="U24" s="47"/>
      <c r="V24" s="47"/>
      <c r="W24" s="47"/>
      <c r="X24" s="47"/>
      <c r="Y24" s="47"/>
    </row>
    <row r="25" spans="1:28">
      <c r="B25" s="51"/>
      <c r="U25" s="47"/>
      <c r="V25" s="45"/>
      <c r="W25" s="47"/>
      <c r="X25" s="45"/>
      <c r="Y25" s="47"/>
    </row>
    <row r="26" spans="1:28">
      <c r="B26" s="51"/>
      <c r="U26" s="47"/>
      <c r="V26" s="47"/>
      <c r="W26" s="47"/>
      <c r="X26" s="47"/>
      <c r="Y26" s="47"/>
    </row>
  </sheetData>
  <sortState ref="A9:AB21">
    <sortCondition ref="AB9:AB21"/>
  </sortState>
  <pageMargins left="0.7" right="0.7" top="0.75" bottom="0.75" header="0.3" footer="0.3"/>
  <pageSetup orientation="portrait"/>
  <drawing r:id="rId1"/>
  <extLst>
    <ext xmlns:x14="http://schemas.microsoft.com/office/spreadsheetml/2009/9/main" uri="{CCE6A557-97BC-4b89-ADB6-D9C93CAAB3DF}">
      <x14:dataValidations xmlns:xm="http://schemas.microsoft.com/office/excel/2006/main" disablePrompts="1" count="2">
        <x14:dataValidation type="list" allowBlank="1" showInputMessage="1" showErrorMessage="1">
          <x14:formula1>
            <xm:f>'[1]Project Statistics'!#REF!</xm:f>
          </x14:formula1>
          <xm:sqref>WVL9:WVL21 WLP9:WLP21 WBT9:WBT21 VRX9:VRX21 VIB9:VIB21 UYF9:UYF21 UOJ9:UOJ21 UEN9:UEN21 TUR9:TUR21 TKV9:TKV21 TAZ9:TAZ21 SRD9:SRD21 SHH9:SHH21 RXL9:RXL21 RNP9:RNP21 RDT9:RDT21 QTX9:QTX21 QKB9:QKB21 QAF9:QAF21 PQJ9:PQJ21 PGN9:PGN21 OWR9:OWR21 OMV9:OMV21 OCZ9:OCZ21 NTD9:NTD21 NJH9:NJH21 MZL9:MZL21 MPP9:MPP21 MFT9:MFT21 LVX9:LVX21 LMB9:LMB21 LCF9:LCF21 KSJ9:KSJ21 KIN9:KIN21 JYR9:JYR21 JOV9:JOV21 JEZ9:JEZ21 IVD9:IVD21 ILH9:ILH21 IBL9:IBL21 HRP9:HRP21 HHT9:HHT21 GXX9:GXX21 GOB9:GOB21 GEF9:GEF21 FUJ9:FUJ21 FKN9:FKN21 FAR9:FAR21 EQV9:EQV21 EGZ9:EGZ21 DXD9:DXD21 DNH9:DNH21 DDL9:DDL21 CTP9:CTP21 CJT9:CJT21 BZX9:BZX21 BQB9:BQB21 BGF9:BGF21 AWJ9:AWJ21 AMN9:AMN21 ACR9:ACR21 SV9:SV21 IZ9:IZ21</xm:sqref>
        </x14:dataValidation>
        <x14:dataValidation type="list" allowBlank="1" showInputMessage="1" showErrorMessage="1">
          <x14:formula1>
            <xm:f>'[1]Project Statistics'!#REF!</xm:f>
          </x14:formula1>
          <xm:sqref>WVM9:WVN21 WLQ9:WLR21 WBU9:WBV21 VRY9:VRZ21 VIC9:VID21 UYG9:UYH21 UOK9:UOL21 UEO9:UEP21 TUS9:TUT21 TKW9:TKX21 TBA9:TBB21 SRE9:SRF21 SHI9:SHJ21 RXM9:RXN21 RNQ9:RNR21 RDU9:RDV21 QTY9:QTZ21 QKC9:QKD21 QAG9:QAH21 PQK9:PQL21 PGO9:PGP21 OWS9:OWT21 OMW9:OMX21 ODA9:ODB21 NTE9:NTF21 NJI9:NJJ21 MZM9:MZN21 MPQ9:MPR21 MFU9:MFV21 LVY9:LVZ21 LMC9:LMD21 LCG9:LCH21 KSK9:KSL21 KIO9:KIP21 JYS9:JYT21 JOW9:JOX21 JFA9:JFB21 IVE9:IVF21 ILI9:ILJ21 IBM9:IBN21 HRQ9:HRR21 HHU9:HHV21 GXY9:GXZ21 GOC9:GOD21 GEG9:GEH21 FUK9:FUL21 FKO9:FKP21 FAS9:FAT21 EQW9:EQX21 EHA9:EHB21 DXE9:DXF21 DNI9:DNJ21 DDM9:DDN21 CTQ9:CTR21 CJU9:CJV21 BZY9:BZZ21 BQC9:BQD21 BGG9:BGH21 AWK9:AWL21 AMO9:AMP21 ACS9:ACT21 SW9:SX21 JA9:JB21</xm:sqref>
        </x14:dataValidation>
      </x14:dataValidations>
    </ex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7:AF32"/>
  <sheetViews>
    <sheetView topLeftCell="B20" workbookViewId="0">
      <pane xSplit="1" topLeftCell="O1" activePane="topRight" state="frozen"/>
      <selection activeCell="B1" sqref="B1"/>
      <selection pane="topRight" activeCell="AJ37" sqref="AJ37"/>
    </sheetView>
  </sheetViews>
  <sheetFormatPr baseColWidth="10" defaultColWidth="8.83203125" defaultRowHeight="14" x14ac:dyDescent="0"/>
  <cols>
    <col min="2" max="2" width="11.6640625" customWidth="1"/>
    <col min="3" max="3" width="8.6640625" customWidth="1"/>
    <col min="4" max="4" width="12.6640625" customWidth="1"/>
    <col min="6" max="6" width="11.5" customWidth="1"/>
    <col min="9" max="9" width="12.5" customWidth="1"/>
    <col min="11" max="11" width="12.5" customWidth="1"/>
    <col min="22" max="22" width="11.5" bestFit="1" customWidth="1"/>
  </cols>
  <sheetData>
    <row r="7" spans="1:32" ht="71" thickBot="1">
      <c r="B7" s="1" t="s">
        <v>0</v>
      </c>
      <c r="C7" s="18" t="str">
        <f>VLOOKUP($B7,'BaseLine Data'!$B7:$AS21,2,FALSE)</f>
        <v>Number of Housing Units</v>
      </c>
      <c r="D7" s="18" t="str">
        <f>VLOOKUP($B7,'BaseLine Data'!$B7:$AS21,3,FALSE)</f>
        <v>Location</v>
      </c>
      <c r="E7" s="18" t="str">
        <f>VLOOKUP($B7,'BaseLine Data'!$B7:$AS21,4,FALSE)</f>
        <v>Pre-DER Cond. Floor Area_x000D_(sq.ft.)</v>
      </c>
      <c r="F7" s="18" t="str">
        <f>VLOOKUP($B7,'BaseLine Data'!$B7:$AS21,5,FALSE)</f>
        <v>Building Type</v>
      </c>
      <c r="G7" s="18" t="str">
        <f>VLOOKUP($B7,'BaseLine Data'!$B7:$AS21,6,FALSE)</f>
        <v>Stories</v>
      </c>
      <c r="H7" s="18" t="str">
        <f>VLOOKUP($B7,'BaseLine Data'!$B7:$AS21,7,FALSE)</f>
        <v>Approx. Year Built</v>
      </c>
      <c r="I7" s="18" t="str">
        <f>VLOOKUP($B7,'BaseLine Data'!$B7:$AS21,8,FALSE)</f>
        <v>Status</v>
      </c>
      <c r="J7" s="18" t="str">
        <f>VLOOKUP($B7,'BaseLine Data'!$B7:$AS21,9,FALSE)</f>
        <v>Double checked numbers? (Y/N)</v>
      </c>
      <c r="K7" s="18" t="str">
        <f>VLOOKUP($B7,'BaseLine Data'!$B7:$AS21,10,FALSE)</f>
        <v>Source for Geometry Data</v>
      </c>
      <c r="L7" s="18" t="str">
        <f>VLOOKUP($B7,'BaseLine Data'!$B7:$AS21,11,FALSE)</f>
        <v>Pre-Retrofit Basement</v>
      </c>
      <c r="M7" s="18" t="str">
        <f>VLOOKUP($B7,'BaseLine Data'!$B7:$AS21,12,FALSE)</f>
        <v>Post Retrofit Basement</v>
      </c>
      <c r="N7" s="18" t="str">
        <f>VLOOKUP($B7,'BaseLine Data'!$B7:$AS21,13,FALSE)</f>
        <v>Pre-DER Cond. Floor Area_x000D_(sq.ft.)</v>
      </c>
      <c r="O7" s="18" t="str">
        <f>VLOOKUP($B7,'BaseLine Data'!$B7:$AS21,14,FALSE)</f>
        <v>Post-DER Con. Floor Area        (sq.ft.)</v>
      </c>
      <c r="P7" s="18" t="str">
        <f>VLOOKUP($B7,'BaseLine Data'!$B7:$AS21,15,FALSE)</f>
        <v>Pre-DER Enclosure Area (sf)</v>
      </c>
      <c r="Q7" s="18" t="str">
        <f>VLOOKUP($B7,'BaseLine Data'!$B7:$AS21,16,FALSE)</f>
        <v>Post-DER Enclosure Area (sf)</v>
      </c>
      <c r="R7" s="18" t="str">
        <f>VLOOKUP($B7,'BaseLine Data'!$B7:$AS21,17,FALSE)</f>
        <v>Pre-DER Volume (ft3)</v>
      </c>
      <c r="S7" s="18" t="str">
        <f>VLOOKUP($B7,'BaseLine Data'!$B7:$AS21,18,FALSE)</f>
        <v>Post-DER Volume (ft3)</v>
      </c>
      <c r="T7" s="18" t="str">
        <f>VLOOKUP($B7,'BaseLine Data'!$B7:$AS21,19,FALSE)</f>
        <v>Pre-DER   CFM 50</v>
      </c>
      <c r="U7" s="18" t="str">
        <f>VLOOKUP($B7,'BaseLine Data'!$B7:$AS21,20,FALSE)</f>
        <v>Post-DER CFM 50</v>
      </c>
      <c r="V7" s="18" t="str">
        <f>VLOOKUP($B7,'BaseLine Data'!$B7:$AS21,21,FALSE)</f>
        <v xml:space="preserve">Pre-DER   ACH 50 </v>
      </c>
      <c r="W7" s="18" t="str">
        <f>VLOOKUP($B7,'BaseLine Data'!$B7:$AS21,22,FALSE)</f>
        <v xml:space="preserve">Post-DER ACH 50 </v>
      </c>
      <c r="X7" s="18" t="str">
        <f>VLOOKUP($B7,'BaseLine Data'!$B7:$AS21,23,FALSE)</f>
        <v>Pre-DER   CFM 50 per Sq.Ft. of Enclosure</v>
      </c>
      <c r="Y7" s="18" t="str">
        <f>VLOOKUP($B7,'BaseLine Data'!$B7:$AS21,24,FALSE)</f>
        <v>Post-DER CFM 50 per Sq. Ft. of Enclosure</v>
      </c>
      <c r="Z7" s="18" t="str">
        <f>VLOOKUP($B7,'BaseLine Data'!$B7:$AS21,25,FALSE)</f>
        <v>Pre-DER CFM/sf Conditioned floor area</v>
      </c>
      <c r="AA7" s="18" t="str">
        <f>VLOOKUP($B7,'BaseLine Data'!$B7:$AS21,26,FALSE)</f>
        <v>Post-DER CFM/sf Conditioned floor area</v>
      </c>
      <c r="AB7" s="52" t="str">
        <f>VLOOKUP($B7,'BaseLine Data'!$B7:$AS21,29,FALSE)</f>
        <v>Roof Insulation:Exterior, Y/N</v>
      </c>
      <c r="AC7" s="52" t="str">
        <f>VLOOKUP($B7,'BaseLine Data'!$B7:$AS21,30,FALSE)</f>
        <v>Wall Insulation Exterior Y/N</v>
      </c>
      <c r="AD7" s="54" t="s">
        <v>92</v>
      </c>
      <c r="AE7" s="54" t="s">
        <v>93</v>
      </c>
      <c r="AF7" s="54" t="s">
        <v>94</v>
      </c>
    </row>
    <row r="8" spans="1:32" ht="52">
      <c r="A8" s="9"/>
      <c r="B8" s="10" t="s">
        <v>23</v>
      </c>
      <c r="C8" s="11"/>
      <c r="D8" s="11"/>
      <c r="E8" s="11"/>
      <c r="F8" s="11"/>
      <c r="G8" s="11"/>
      <c r="H8" s="11"/>
      <c r="I8" s="11"/>
      <c r="J8" s="11"/>
      <c r="K8" s="11"/>
      <c r="L8" s="11"/>
      <c r="M8" s="11"/>
      <c r="N8" s="12"/>
      <c r="O8" s="13"/>
      <c r="P8" s="12"/>
      <c r="Q8" s="13"/>
      <c r="R8" s="12"/>
      <c r="S8" s="14"/>
      <c r="T8" s="15"/>
      <c r="U8" s="15"/>
      <c r="V8" s="16"/>
      <c r="W8" s="14"/>
      <c r="X8" s="15"/>
      <c r="Y8" s="14"/>
      <c r="Z8" s="15"/>
      <c r="AA8" s="14"/>
      <c r="AB8" s="53"/>
    </row>
    <row r="9" spans="1:32">
      <c r="A9" s="17" t="s">
        <v>24</v>
      </c>
      <c r="B9" s="18" t="s">
        <v>40</v>
      </c>
      <c r="C9" s="18">
        <f>VLOOKUP($B9,'BaseLine Data'!$B9:$AS21,2,FALSE)</f>
        <v>1</v>
      </c>
      <c r="D9" s="18" t="str">
        <f>VLOOKUP($B9,'BaseLine Data'!$B9:$AS21,3,FALSE)</f>
        <v>Gloucester</v>
      </c>
      <c r="E9" s="18">
        <f>VLOOKUP($B9,'BaseLine Data'!$B9:$AS21,4,FALSE)</f>
        <v>2171</v>
      </c>
      <c r="F9" s="18" t="str">
        <f>VLOOKUP($B9,'BaseLine Data'!$B9:$AS21,5,FALSE)</f>
        <v>Single family</v>
      </c>
      <c r="G9" s="18">
        <f>VLOOKUP($B9,'BaseLine Data'!$B9:$AS21,6,FALSE)</f>
        <v>2</v>
      </c>
      <c r="H9" s="18">
        <f>VLOOKUP($B9,'BaseLine Data'!$B9:$AS21,7,FALSE)</f>
        <v>1920</v>
      </c>
      <c r="I9" s="18" t="str">
        <f>VLOOKUP($B9,'BaseLine Data'!$B9:$AS21,8,FALSE)</f>
        <v>Complete</v>
      </c>
      <c r="J9" s="18">
        <f>VLOOKUP($B9,'BaseLine Data'!$B9:$AS21,9,FALSE)</f>
        <v>0</v>
      </c>
      <c r="K9" s="18" t="str">
        <f>VLOOKUP($B9,'BaseLine Data'!$B9:$AS21,10,FALSE)</f>
        <v>application</v>
      </c>
      <c r="L9" s="18">
        <f>VLOOKUP($B9,'BaseLine Data'!$B9:$AS21,11,FALSE)</f>
        <v>0</v>
      </c>
      <c r="M9" s="18">
        <f>VLOOKUP($B9,'BaseLine Data'!$B9:$AS21,12,FALSE)</f>
        <v>0</v>
      </c>
      <c r="N9" s="18">
        <f>VLOOKUP($B9,'BaseLine Data'!$B9:$AS21,13,FALSE)</f>
        <v>2171</v>
      </c>
      <c r="O9" s="18">
        <f>VLOOKUP($B9,'BaseLine Data'!$B9:$AS21,14,FALSE)</f>
        <v>2424</v>
      </c>
      <c r="P9" s="18">
        <f>VLOOKUP($B9,'BaseLine Data'!$B9:$AS21,15,FALSE)</f>
        <v>5325</v>
      </c>
      <c r="Q9" s="18">
        <f>VLOOKUP($B9,'BaseLine Data'!$B9:$AS21,16,FALSE)</f>
        <v>6493</v>
      </c>
      <c r="R9" s="18">
        <f>VLOOKUP($B9,'BaseLine Data'!$B9:$AS21,17,FALSE)</f>
        <v>0</v>
      </c>
      <c r="S9" s="18">
        <f>VLOOKUP($B9,'BaseLine Data'!$B9:$AS21,18,FALSE)</f>
        <v>23285</v>
      </c>
      <c r="T9" s="18">
        <f>VLOOKUP($B9,'BaseLine Data'!$B9:$AS21,19,FALSE)</f>
        <v>2258</v>
      </c>
      <c r="U9" s="18">
        <f>VLOOKUP($B9,'BaseLine Data'!$B9:$AS21,20,FALSE)</f>
        <v>235</v>
      </c>
      <c r="V9" s="30" t="e">
        <f>T9*60*(1/R9)</f>
        <v>#DIV/0!</v>
      </c>
      <c r="W9" s="30">
        <f>U9*60*(1/S9)</f>
        <v>0.60554004724071286</v>
      </c>
      <c r="X9" s="39">
        <f t="shared" ref="X9:X21" si="0">T9/P9</f>
        <v>0.42403755868544601</v>
      </c>
      <c r="Y9" s="46">
        <f t="shared" ref="Y9:Y21" si="1">U9/Q9</f>
        <v>3.6192823040197136E-2</v>
      </c>
      <c r="Z9" s="39">
        <f t="shared" ref="Z9:Z21" si="2">T9/N9</f>
        <v>1.0400736987563335</v>
      </c>
      <c r="AA9" s="37">
        <f t="shared" ref="AA9:AA21" si="3">U9/O9</f>
        <v>9.6947194719471941E-2</v>
      </c>
      <c r="AB9" s="52" t="str">
        <f>VLOOKUP($B9,'BaseLine Data'!$B9:$AS21,29,FALSE)</f>
        <v>Y</v>
      </c>
      <c r="AC9" s="52" t="str">
        <f>VLOOKUP($B9,'BaseLine Data'!$B9:$AS21,30,FALSE)</f>
        <v>Y</v>
      </c>
      <c r="AF9" s="47">
        <f>W9</f>
        <v>0.60554004724071286</v>
      </c>
    </row>
    <row r="10" spans="1:32" ht="28">
      <c r="A10" s="17" t="s">
        <v>24</v>
      </c>
      <c r="B10" s="24" t="s">
        <v>27</v>
      </c>
      <c r="C10" s="18">
        <f>VLOOKUP($B10,'BaseLine Data'!$B9:$AS21,2,FALSE)</f>
        <v>2</v>
      </c>
      <c r="D10" s="18" t="str">
        <f>VLOOKUP($B10,'BaseLine Data'!$B9:$AS21,3,FALSE)</f>
        <v>Belmont</v>
      </c>
      <c r="E10" s="18">
        <f>VLOOKUP($B10,'BaseLine Data'!$B9:$AS21,4,FALSE)</f>
        <v>2728</v>
      </c>
      <c r="F10" s="18" t="str">
        <f>VLOOKUP($B10,'BaseLine Data'!$B9:$AS21,5,FALSE)</f>
        <v>2 family</v>
      </c>
      <c r="G10" s="18">
        <f>VLOOKUP($B10,'BaseLine Data'!$B9:$AS21,6,FALSE)</f>
        <v>3</v>
      </c>
      <c r="H10" s="18">
        <f>VLOOKUP($B10,'BaseLine Data'!$B9:$AS21,7,FALSE)</f>
        <v>1925</v>
      </c>
      <c r="I10" s="18" t="str">
        <f>VLOOKUP($B10,'BaseLine Data'!$B9:$AS21,8,FALSE)</f>
        <v>Complete</v>
      </c>
      <c r="J10" s="18" t="str">
        <f>VLOOKUP($B10,'BaseLine Data'!$B9:$AS21,9,FALSE)</f>
        <v>Y</v>
      </c>
      <c r="K10" s="18">
        <f>VLOOKUP($B10,'BaseLine Data'!$B9:$AS21,10,FALSE)</f>
        <v>0</v>
      </c>
      <c r="L10" s="18" t="str">
        <f>VLOOKUP($B10,'BaseLine Data'!$B9:$AS21,11,FALSE)</f>
        <v>Excluded</v>
      </c>
      <c r="M10" s="18" t="str">
        <f>VLOOKUP($B10,'BaseLine Data'!$B9:$AS21,12,FALSE)</f>
        <v>Included</v>
      </c>
      <c r="N10" s="18">
        <f>VLOOKUP($B10,'BaseLine Data'!$B9:$AS21,13,FALSE)</f>
        <v>3417</v>
      </c>
      <c r="O10" s="18">
        <f>VLOOKUP($B10,'BaseLine Data'!$B9:$AS21,14,FALSE)</f>
        <v>4768</v>
      </c>
      <c r="P10" s="18">
        <f>VLOOKUP($B10,'BaseLine Data'!$B9:$AS21,15,FALSE)</f>
        <v>7468</v>
      </c>
      <c r="Q10" s="18">
        <f>VLOOKUP($B10,'BaseLine Data'!$B9:$AS21,16,FALSE)</f>
        <v>9093</v>
      </c>
      <c r="R10" s="18">
        <f>VLOOKUP($B10,'BaseLine Data'!$B9:$AS21,17,FALSE)</f>
        <v>36898</v>
      </c>
      <c r="S10" s="18">
        <f>VLOOKUP($B10,'BaseLine Data'!$B9:$AS21,18,FALSE)</f>
        <v>47706</v>
      </c>
      <c r="T10" s="18">
        <f>VLOOKUP($B10,'BaseLine Data'!$B9:$AS21,19,FALSE)</f>
        <v>5700</v>
      </c>
      <c r="U10" s="18">
        <f>VLOOKUP($B10,'BaseLine Data'!$B9:$AS21,20,FALSE)</f>
        <v>590</v>
      </c>
      <c r="V10" s="30">
        <f>T10*60*(1/R10)</f>
        <v>9.2687950566426363</v>
      </c>
      <c r="W10" s="30">
        <f>U10*60*(1/S10)</f>
        <v>0.74204502578292031</v>
      </c>
      <c r="X10" s="21">
        <f t="shared" si="0"/>
        <v>0.76325656132833419</v>
      </c>
      <c r="Y10" s="22">
        <f t="shared" si="1"/>
        <v>6.4885076432420544E-2</v>
      </c>
      <c r="Z10" s="21">
        <f t="shared" si="2"/>
        <v>1.6681299385425812</v>
      </c>
      <c r="AA10" s="22">
        <f t="shared" si="3"/>
        <v>0.12374161073825503</v>
      </c>
      <c r="AB10" s="52" t="str">
        <f>VLOOKUP($B10,'BaseLine Data'!$B9:$AS21,29,FALSE)</f>
        <v>Y</v>
      </c>
      <c r="AC10" s="52" t="str">
        <f>VLOOKUP($B10,'BaseLine Data'!$B9:$AS21,30,FALSE)</f>
        <v>Y</v>
      </c>
      <c r="AF10" s="47">
        <f t="shared" ref="AF10:AF13" si="4">W10</f>
        <v>0.74204502578292031</v>
      </c>
    </row>
    <row r="11" spans="1:32">
      <c r="A11" s="17" t="s">
        <v>24</v>
      </c>
      <c r="B11" s="18" t="s">
        <v>35</v>
      </c>
      <c r="C11" s="18">
        <f>VLOOKUP($B11,'BaseLine Data'!$B9:$AS21,2,FALSE)</f>
        <v>1</v>
      </c>
      <c r="D11" s="18" t="str">
        <f>VLOOKUP($B11,'BaseLine Data'!$B9:$AS21,3,FALSE)</f>
        <v>Northampton</v>
      </c>
      <c r="E11" s="18">
        <f>VLOOKUP($B11,'BaseLine Data'!$B9:$AS21,4,FALSE)</f>
        <v>2032</v>
      </c>
      <c r="F11" s="18" t="str">
        <f>VLOOKUP($B11,'BaseLine Data'!$B9:$AS21,5,FALSE)</f>
        <v>Victorian</v>
      </c>
      <c r="G11" s="18">
        <f>VLOOKUP($B11,'BaseLine Data'!$B9:$AS21,6,FALSE)</f>
        <v>1</v>
      </c>
      <c r="H11" s="18">
        <f>VLOOKUP($B11,'BaseLine Data'!$B9:$AS21,7,FALSE)</f>
        <v>1859</v>
      </c>
      <c r="I11" s="18" t="str">
        <f>VLOOKUP($B11,'BaseLine Data'!$B9:$AS21,8,FALSE)</f>
        <v>Complete</v>
      </c>
      <c r="J11" s="18">
        <f>VLOOKUP($B11,'BaseLine Data'!$B9:$AS21,9,FALSE)</f>
        <v>0</v>
      </c>
      <c r="K11" s="18">
        <f>VLOOKUP($B11,'BaseLine Data'!$B9:$AS21,10,FALSE)</f>
        <v>0</v>
      </c>
      <c r="L11" s="18">
        <f>VLOOKUP($B11,'BaseLine Data'!$B9:$AS21,11,FALSE)</f>
        <v>0</v>
      </c>
      <c r="M11" s="18" t="str">
        <f>VLOOKUP($B11,'BaseLine Data'!$B9:$AS21,12,FALSE)</f>
        <v>Included</v>
      </c>
      <c r="N11" s="18">
        <f>VLOOKUP($B11,'BaseLine Data'!$B9:$AS21,13,FALSE)</f>
        <v>2032</v>
      </c>
      <c r="O11" s="18">
        <f>VLOOKUP($B11,'BaseLine Data'!$B9:$AS21,14,FALSE)</f>
        <v>2747</v>
      </c>
      <c r="P11" s="18">
        <f>VLOOKUP($B11,'BaseLine Data'!$B9:$AS21,15,FALSE)</f>
        <v>6711</v>
      </c>
      <c r="Q11" s="18">
        <f>VLOOKUP($B11,'BaseLine Data'!$B9:$AS21,16,FALSE)</f>
        <v>7798</v>
      </c>
      <c r="R11" s="18">
        <f>VLOOKUP($B11,'BaseLine Data'!$B9:$AS21,17,FALSE)</f>
        <v>0</v>
      </c>
      <c r="S11" s="18">
        <f>VLOOKUP($B11,'BaseLine Data'!$B9:$AS21,18,FALSE)</f>
        <v>34624</v>
      </c>
      <c r="T11" s="18">
        <f>VLOOKUP($B11,'BaseLine Data'!$B9:$AS21,19,FALSE)</f>
        <v>6155</v>
      </c>
      <c r="U11" s="18">
        <f>VLOOKUP($B11,'BaseLine Data'!$B9:$AS21,20,FALSE)</f>
        <v>473</v>
      </c>
      <c r="V11" s="30"/>
      <c r="W11" s="28">
        <f t="shared" ref="W11:W21" si="5">U11*60*(1/S11)</f>
        <v>0.81966266173752311</v>
      </c>
      <c r="X11" s="29">
        <f t="shared" si="0"/>
        <v>0.91715094620771864</v>
      </c>
      <c r="Y11" s="28">
        <f t="shared" si="1"/>
        <v>6.0656578609899973E-2</v>
      </c>
      <c r="Z11" s="29">
        <f t="shared" si="2"/>
        <v>3.0290354330708662</v>
      </c>
      <c r="AA11" s="28">
        <f t="shared" si="3"/>
        <v>0.17218784128139789</v>
      </c>
      <c r="AB11" s="52" t="str">
        <f>VLOOKUP($B11,'BaseLine Data'!$B9:$AS21,29,FALSE)</f>
        <v>Y</v>
      </c>
      <c r="AC11" s="52" t="str">
        <f>VLOOKUP($B11,'BaseLine Data'!$B9:$AS21,30,FALSE)</f>
        <v>Y</v>
      </c>
      <c r="AF11" s="47">
        <f t="shared" si="4"/>
        <v>0.81966266173752311</v>
      </c>
    </row>
    <row r="12" spans="1:32" ht="28">
      <c r="A12" s="17" t="s">
        <v>24</v>
      </c>
      <c r="B12" s="18" t="s">
        <v>30</v>
      </c>
      <c r="C12" s="18">
        <f>VLOOKUP($B12,'BaseLine Data'!$B9:$AS21,2,FALSE)</f>
        <v>1</v>
      </c>
      <c r="D12" s="18" t="str">
        <f>VLOOKUP($B12,'BaseLine Data'!$B9:$AT21,3,FALSE)</f>
        <v>Quincy</v>
      </c>
      <c r="E12" s="18">
        <f>VLOOKUP($B12,'BaseLine Data'!$B9:$AT21,4,FALSE)</f>
        <v>1808</v>
      </c>
      <c r="F12" s="18" t="str">
        <f>VLOOKUP($B12,'BaseLine Data'!$B9:$AT21,5,FALSE)</f>
        <v>bungalow</v>
      </c>
      <c r="G12" s="18">
        <f>VLOOKUP($B12,'BaseLine Data'!$B9:$AT21,6,FALSE)</f>
        <v>1.5</v>
      </c>
      <c r="H12" s="18">
        <f>VLOOKUP($B12,'BaseLine Data'!$B9:$AT21,7,FALSE)</f>
        <v>1905</v>
      </c>
      <c r="I12" s="18" t="str">
        <f>VLOOKUP($B12,'BaseLine Data'!$B9:$AT21,8,FALSE)</f>
        <v>Complete</v>
      </c>
      <c r="J12" s="18" t="str">
        <f>VLOOKUP($B12,'BaseLine Data'!$B9:$AT21,9,FALSE)</f>
        <v>Y</v>
      </c>
      <c r="K12" s="18" t="str">
        <f>VLOOKUP($B12,'BaseLine Data'!$B9:$AT21,10,FALSE)</f>
        <v>take-off from model</v>
      </c>
      <c r="L12" s="18" t="str">
        <f>VLOOKUP($B12,'BaseLine Data'!$B9:$AT21,11,FALSE)</f>
        <v>Included</v>
      </c>
      <c r="M12" s="18" t="str">
        <f>VLOOKUP($B12,'BaseLine Data'!$B9:$AT21,12,FALSE)</f>
        <v>Included</v>
      </c>
      <c r="N12" s="18">
        <f>VLOOKUP($B12,'BaseLine Data'!$B9:$AT21,13,FALSE)</f>
        <v>3484</v>
      </c>
      <c r="O12" s="18">
        <f>VLOOKUP($B12,'BaseLine Data'!$B9:$AT21,14,FALSE)</f>
        <v>4576</v>
      </c>
      <c r="P12" s="18">
        <f>VLOOKUP($B12,'BaseLine Data'!$B9:$AT21,15,FALSE)</f>
        <v>5340</v>
      </c>
      <c r="Q12" s="18">
        <f>VLOOKUP($B12,'BaseLine Data'!$B9:$AT21,16,FALSE)</f>
        <v>6806</v>
      </c>
      <c r="R12" s="18">
        <f>VLOOKUP($B12,'BaseLine Data'!$B9:$AT21,17,FALSE)</f>
        <v>16350</v>
      </c>
      <c r="S12" s="18">
        <f>VLOOKUP($B12,'BaseLine Data'!$B9:$AS21,18,FALSE)</f>
        <v>36346</v>
      </c>
      <c r="T12" s="18">
        <f>VLOOKUP($B12,'BaseLine Data'!$B9:$AS21,19,FALSE)</f>
        <v>5050</v>
      </c>
      <c r="U12" s="18">
        <f>VLOOKUP($B12,'BaseLine Data'!$B9:$AS21,20,FALSE)</f>
        <v>762</v>
      </c>
      <c r="V12" s="35">
        <v>18.53</v>
      </c>
      <c r="W12" s="28">
        <f t="shared" si="5"/>
        <v>1.2579100863919002</v>
      </c>
      <c r="X12" s="29">
        <f t="shared" si="0"/>
        <v>0.94569288389513106</v>
      </c>
      <c r="Y12" s="28">
        <f t="shared" si="1"/>
        <v>0.11196003526300323</v>
      </c>
      <c r="Z12" s="29">
        <f t="shared" si="2"/>
        <v>1.4494833524684272</v>
      </c>
      <c r="AA12" s="28">
        <f t="shared" si="3"/>
        <v>0.16652097902097901</v>
      </c>
      <c r="AB12" s="52" t="str">
        <f>VLOOKUP($B12,'BaseLine Data'!$B9:$AS21,29,FALSE)</f>
        <v>Y</v>
      </c>
      <c r="AC12" s="52" t="str">
        <f>VLOOKUP($B12,'BaseLine Data'!$B9:$AS21,30,FALSE)</f>
        <v>Y</v>
      </c>
      <c r="AF12" s="47">
        <f t="shared" si="4"/>
        <v>1.2579100863919002</v>
      </c>
    </row>
    <row r="13" spans="1:32">
      <c r="A13" s="17" t="s">
        <v>24</v>
      </c>
      <c r="B13" s="18" t="s">
        <v>28</v>
      </c>
      <c r="C13" s="18">
        <f>VLOOKUP($B13,'BaseLine Data'!$B9:$AS21,2,FALSE)</f>
        <v>1</v>
      </c>
      <c r="D13" s="18" t="str">
        <f>VLOOKUP($B13,'BaseLine Data'!$B9:$AS21,3,FALSE)</f>
        <v>Millbury</v>
      </c>
      <c r="E13" s="18">
        <f>VLOOKUP($B13,'BaseLine Data'!$B9:$AS21,4,FALSE)</f>
        <v>1100</v>
      </c>
      <c r="F13" s="18">
        <f>VLOOKUP($B13,'BaseLine Data'!$B9:$AS21,4,FALSE)</f>
        <v>1100</v>
      </c>
      <c r="G13" s="18">
        <f>VLOOKUP($B13,'BaseLine Data'!$B9:$AS21,6,FALSE)</f>
        <v>1.5</v>
      </c>
      <c r="H13" s="18">
        <f>VLOOKUP($B13,'BaseLine Data'!$B9:$AS21,7,FALSE)</f>
        <v>1953</v>
      </c>
      <c r="I13" s="18" t="str">
        <f>VLOOKUP($B13,'BaseLine Data'!$B9:$AS21,8,FALSE)</f>
        <v>Complete</v>
      </c>
      <c r="J13" s="18" t="str">
        <f>VLOOKUP($B13,'BaseLine Data'!$B9:$AS21,9,FALSE)</f>
        <v>?</v>
      </c>
      <c r="K13" s="18">
        <f>VLOOKUP($B13,'BaseLine Data'!$B9:$AS21,10,FALSE)</f>
        <v>0</v>
      </c>
      <c r="L13" s="18" t="str">
        <f>VLOOKUP($B13,'BaseLine Data'!$B9:$AS21,11,FALSE)</f>
        <v>Included</v>
      </c>
      <c r="M13" s="18" t="str">
        <f>VLOOKUP($B13,'BaseLine Data'!$B9:$AS21,12,FALSE)</f>
        <v>Included</v>
      </c>
      <c r="N13" s="18">
        <f>VLOOKUP($B13,'BaseLine Data'!$B9:$AS21,13,FALSE)</f>
        <v>1868</v>
      </c>
      <c r="O13" s="18">
        <f>VLOOKUP($B13,'BaseLine Data'!$B9:$AS21,14,FALSE)</f>
        <v>1868</v>
      </c>
      <c r="P13" s="18">
        <f>VLOOKUP($B13,'BaseLine Data'!$B9:$AS21,15,FALSE)</f>
        <v>4278</v>
      </c>
      <c r="Q13" s="18">
        <f>VLOOKUP($B13,'BaseLine Data'!$B9:$AS21,16,FALSE)</f>
        <v>4278</v>
      </c>
      <c r="R13" s="18">
        <f>VLOOKUP($B13,'BaseLine Data'!$B9:$AS21,17,FALSE)</f>
        <v>17000</v>
      </c>
      <c r="S13" s="18">
        <f>VLOOKUP($B13,'BaseLine Data'!$B9:$AS21,18,FALSE)</f>
        <v>17000</v>
      </c>
      <c r="T13" s="18">
        <f>VLOOKUP($B13,'BaseLine Data'!$B9:$AS21,19,FALSE)</f>
        <v>2860</v>
      </c>
      <c r="U13" s="18">
        <f>VLOOKUP($B13,'BaseLine Data'!$B9:$AS21,20,FALSE)</f>
        <v>402</v>
      </c>
      <c r="V13" s="36">
        <f t="shared" ref="V13:V21" si="6">T13*60*(1/R13)</f>
        <v>10.094117647058823</v>
      </c>
      <c r="W13" s="28">
        <f t="shared" si="5"/>
        <v>1.4188235294117648</v>
      </c>
      <c r="X13" s="29">
        <f t="shared" si="0"/>
        <v>0.66853669939223936</v>
      </c>
      <c r="Y13" s="28">
        <f t="shared" si="1"/>
        <v>9.3969144460028048E-2</v>
      </c>
      <c r="Z13" s="29">
        <f t="shared" si="2"/>
        <v>1.5310492505353319</v>
      </c>
      <c r="AA13" s="28">
        <f t="shared" si="3"/>
        <v>0.21520342612419699</v>
      </c>
      <c r="AB13" s="52" t="str">
        <f>VLOOKUP($B13,'BaseLine Data'!$B9:$AS21,29,FALSE)</f>
        <v>Y</v>
      </c>
      <c r="AC13" s="52" t="str">
        <f>VLOOKUP($B13,'BaseLine Data'!$B9:$AS21,30,FALSE)</f>
        <v>Y</v>
      </c>
      <c r="AF13" s="47">
        <f t="shared" si="4"/>
        <v>1.4188235294117648</v>
      </c>
    </row>
    <row r="14" spans="1:32">
      <c r="A14" s="17" t="s">
        <v>32</v>
      </c>
      <c r="B14" s="18" t="s">
        <v>33</v>
      </c>
      <c r="C14" s="18">
        <f>VLOOKUP($B14,'BaseLine Data'!$B9:$AS21,2,FALSE)</f>
        <v>1</v>
      </c>
      <c r="D14" s="18" t="str">
        <f>VLOOKUP($B14,'BaseLine Data'!$B9:$AS21,3,FALSE)</f>
        <v>Newton</v>
      </c>
      <c r="E14" s="18">
        <f>VLOOKUP($B14,'BaseLine Data'!$B9:$AS21,4,FALSE)</f>
        <v>1724</v>
      </c>
      <c r="F14" s="18" t="str">
        <f>VLOOKUP($B14,'BaseLine Data'!$B9:$AS21,5,FALSE)</f>
        <v>Colonial</v>
      </c>
      <c r="G14" s="18">
        <f>VLOOKUP($B14,'BaseLine Data'!$B9:$AS21,6,FALSE)</f>
        <v>1</v>
      </c>
      <c r="H14" s="18">
        <f>VLOOKUP($B14,'BaseLine Data'!$B9:$AS21,7,FALSE)</f>
        <v>1930</v>
      </c>
      <c r="I14" s="18" t="str">
        <f>VLOOKUP($B14,'BaseLine Data'!$B9:$AS21,8,FALSE)</f>
        <v>Complete</v>
      </c>
      <c r="J14" s="18" t="str">
        <f>VLOOKUP($B14,'BaseLine Data'!$B9:$AS21,9,FALSE)</f>
        <v>Y</v>
      </c>
      <c r="K14" s="18">
        <f>VLOOKUP($B14,'BaseLine Data'!$B9:$AS21,10,FALSE)</f>
        <v>0</v>
      </c>
      <c r="L14" s="18">
        <f>VLOOKUP($B14,'BaseLine Data'!$B9:$AS21,11,FALSE)</f>
        <v>0</v>
      </c>
      <c r="M14" s="18">
        <f>VLOOKUP($B14,'BaseLine Data'!$B9:$AS21,12,FALSE)</f>
        <v>0</v>
      </c>
      <c r="N14" s="18">
        <f>VLOOKUP($B14,'BaseLine Data'!$B9:$AS21,13,FALSE)</f>
        <v>1815</v>
      </c>
      <c r="O14" s="18">
        <f>VLOOKUP($B14,'BaseLine Data'!$B9:$AS21,14,FALSE)</f>
        <v>2199</v>
      </c>
      <c r="P14" s="18">
        <f>VLOOKUP($B14,'BaseLine Data'!$B9:$AS21,15,FALSE)</f>
        <v>3729</v>
      </c>
      <c r="Q14" s="18">
        <f>VLOOKUP($B14,'BaseLine Data'!$B9:$AS21,16,FALSE)</f>
        <v>4337</v>
      </c>
      <c r="R14" s="18">
        <f>VLOOKUP($B14,'BaseLine Data'!$B9:$AS21,17,FALSE)</f>
        <v>18831</v>
      </c>
      <c r="S14" s="18">
        <f>VLOOKUP($B14,'BaseLine Data'!$B9:$AS21,18,FALSE)</f>
        <v>21904</v>
      </c>
      <c r="T14" s="18">
        <f>VLOOKUP($B14,'BaseLine Data'!$B9:$AS21,19,FALSE)</f>
        <v>3199</v>
      </c>
      <c r="U14" s="18">
        <f>VLOOKUP($B14,'BaseLine Data'!$B9:$AS21,20,FALSE)</f>
        <v>1299</v>
      </c>
      <c r="V14" s="30">
        <f t="shared" si="6"/>
        <v>10.192767245499441</v>
      </c>
      <c r="W14" s="28">
        <f t="shared" si="5"/>
        <v>3.558254200146092</v>
      </c>
      <c r="X14" s="29">
        <f t="shared" si="0"/>
        <v>0.857870742826495</v>
      </c>
      <c r="Y14" s="28">
        <f t="shared" si="1"/>
        <v>0.29951579432787639</v>
      </c>
      <c r="Z14" s="31">
        <f t="shared" si="2"/>
        <v>1.7625344352617081</v>
      </c>
      <c r="AA14" s="32">
        <f t="shared" si="3"/>
        <v>0.59072305593451568</v>
      </c>
      <c r="AB14" s="52" t="str">
        <f>VLOOKUP($B14,'BaseLine Data'!$B9:$AS21,29,FALSE)</f>
        <v>Y</v>
      </c>
      <c r="AC14" s="52" t="str">
        <f>VLOOKUP($B14,'BaseLine Data'!$B9:$AS21,30,FALSE)</f>
        <v>Y</v>
      </c>
      <c r="AD14" s="47">
        <f>W14</f>
        <v>3.558254200146092</v>
      </c>
    </row>
    <row r="15" spans="1:32">
      <c r="A15" s="17" t="s">
        <v>24</v>
      </c>
      <c r="B15" s="18" t="s">
        <v>38</v>
      </c>
      <c r="C15" s="18">
        <f>VLOOKUP($B15,'BaseLine Data'!$B9:$AS21,2,FALSE)</f>
        <v>1</v>
      </c>
      <c r="D15" s="18" t="str">
        <f>VLOOKUP($B15,'BaseLine Data'!$B9:$AS21,3,FALSE)</f>
        <v>Westford</v>
      </c>
      <c r="E15" s="18">
        <f>VLOOKUP($B15,'BaseLine Data'!$B9:$AS21,4,FALSE)</f>
        <v>2906</v>
      </c>
      <c r="F15" s="18" t="str">
        <f>VLOOKUP($B15,'BaseLine Data'!$B9:$AS21,5,FALSE)</f>
        <v>Colonial</v>
      </c>
      <c r="G15" s="18">
        <f>VLOOKUP($B15,'BaseLine Data'!$B9:$AS21,6,FALSE)</f>
        <v>2</v>
      </c>
      <c r="H15" s="18">
        <f>VLOOKUP($B15,'BaseLine Data'!$B9:$AS21,7,FALSE)</f>
        <v>1993</v>
      </c>
      <c r="I15" s="18" t="str">
        <f>VLOOKUP($B15,'BaseLine Data'!$B9:$AS21,8,FALSE)</f>
        <v>Complete</v>
      </c>
      <c r="J15" s="18">
        <f>VLOOKUP($B15,'BaseLine Data'!$B9:$AS21,9,FALSE)</f>
        <v>0</v>
      </c>
      <c r="K15" s="18" t="str">
        <f>VLOOKUP($B15,'BaseLine Data'!$B9:$AS21,10,FALSE)</f>
        <v>application</v>
      </c>
      <c r="L15" s="18">
        <f>VLOOKUP($B15,'BaseLine Data'!$B9:$AS21,11,FALSE)</f>
        <v>0</v>
      </c>
      <c r="M15" s="18">
        <f>VLOOKUP($B15,'BaseLine Data'!$B9:$AS21,12,FALSE)</f>
        <v>0</v>
      </c>
      <c r="N15" s="18">
        <f>VLOOKUP($B15,'BaseLine Data'!$B9:$AS21,13,FALSE)</f>
        <v>2906</v>
      </c>
      <c r="O15" s="18">
        <f>VLOOKUP($B15,'BaseLine Data'!$B9:$AS21,14,FALSE)</f>
        <v>3955</v>
      </c>
      <c r="P15" s="18">
        <f>VLOOKUP($B15,'BaseLine Data'!$B9:$AS21,15,FALSE)</f>
        <v>7325</v>
      </c>
      <c r="Q15" s="18">
        <f>VLOOKUP($B15,'BaseLine Data'!$B9:$AS21,16,FALSE)</f>
        <v>9538</v>
      </c>
      <c r="R15" s="18">
        <f>VLOOKUP($B15,'BaseLine Data'!$B9:$AS21,17,FALSE)</f>
        <v>32226</v>
      </c>
      <c r="S15" s="18">
        <f>VLOOKUP($B15,'BaseLine Data'!$B9:$AS21,18,FALSE)</f>
        <v>44475</v>
      </c>
      <c r="T15" s="18">
        <f>VLOOKUP($B15,'BaseLine Data'!$B9:$AS21,19,FALSE)</f>
        <v>2592</v>
      </c>
      <c r="U15" s="18">
        <f>VLOOKUP($B15,'BaseLine Data'!$B9:$AS21,20,FALSE)</f>
        <v>930</v>
      </c>
      <c r="V15" s="30">
        <f t="shared" si="6"/>
        <v>4.8259169614596908</v>
      </c>
      <c r="W15" s="28">
        <f t="shared" si="5"/>
        <v>1.2546374367622262</v>
      </c>
      <c r="X15" s="29">
        <f t="shared" si="0"/>
        <v>0.35385665529010241</v>
      </c>
      <c r="Y15" s="34">
        <f t="shared" si="1"/>
        <v>9.7504717970224364E-2</v>
      </c>
      <c r="Z15" s="29">
        <f t="shared" si="2"/>
        <v>0.89194769442532695</v>
      </c>
      <c r="AA15" s="28">
        <f t="shared" si="3"/>
        <v>0.23514538558786346</v>
      </c>
      <c r="AB15" s="52" t="str">
        <f>VLOOKUP($B15,'BaseLine Data'!$B9:$AS21,29,FALSE)</f>
        <v>N</v>
      </c>
      <c r="AC15" s="52" t="str">
        <f>VLOOKUP($B15,'BaseLine Data'!$B9:$AS21,30,FALSE)</f>
        <v>Y</v>
      </c>
      <c r="AF15" s="47">
        <f t="shared" ref="AF15:AF18" si="7">W15</f>
        <v>1.2546374367622262</v>
      </c>
    </row>
    <row r="16" spans="1:32" ht="70">
      <c r="A16" s="17" t="s">
        <v>24</v>
      </c>
      <c r="B16" s="18" t="s">
        <v>36</v>
      </c>
      <c r="C16" s="18">
        <f>VLOOKUP($B16,'BaseLine Data'!$B9:$AS21,2,FALSE)</f>
        <v>1</v>
      </c>
      <c r="D16" s="18" t="str">
        <f>VLOOKUP($B16,'BaseLine Data'!$B9:$AS21,3,FALSE)</f>
        <v>Lancaster</v>
      </c>
      <c r="E16" s="18">
        <f>VLOOKUP($B16,'BaseLine Data'!$B9:$AS21,4,FALSE)</f>
        <v>908</v>
      </c>
      <c r="F16" s="18" t="str">
        <f>VLOOKUP($B16,'BaseLine Data'!$B9:$AS21,5,FALSE)</f>
        <v>Cape to Colonial</v>
      </c>
      <c r="G16" s="18">
        <f>VLOOKUP($B16,'BaseLine Data'!$B9:$AS21,6,FALSE)</f>
        <v>2</v>
      </c>
      <c r="H16" s="18">
        <f>VLOOKUP($B16,'BaseLine Data'!$B9:$AS21,7,FALSE)</f>
        <v>1900</v>
      </c>
      <c r="I16" s="18" t="str">
        <f>VLOOKUP($B16,'BaseLine Data'!$B9:$AS21,8,FALSE)</f>
        <v>Complete</v>
      </c>
      <c r="J16" s="18" t="str">
        <f>VLOOKUP($B16,'BaseLine Data'!$B9:$AS21,9,FALSE)</f>
        <v>Y</v>
      </c>
      <c r="K16" s="18">
        <f>VLOOKUP($B16,'BaseLine Data'!$B9:$AS21,10,FALSE)</f>
        <v>0</v>
      </c>
      <c r="L16" s="18">
        <f>VLOOKUP($B16,'BaseLine Data'!$B9:$AS21,11,FALSE)</f>
        <v>0</v>
      </c>
      <c r="M16" s="18">
        <f>VLOOKUP($B16,'BaseLine Data'!$B9:$AS21,12,FALSE)</f>
        <v>0</v>
      </c>
      <c r="N16" s="18">
        <f>VLOOKUP($B16,'BaseLine Data'!$B9:$AS21,13,FALSE)</f>
        <v>980</v>
      </c>
      <c r="O16" s="18">
        <f>VLOOKUP($B16,'BaseLine Data'!$B9:$AS21,14,FALSE)</f>
        <v>1440</v>
      </c>
      <c r="P16" s="18">
        <f>VLOOKUP($B16,'BaseLine Data'!$B9:$AS21,15,FALSE)</f>
        <v>2583</v>
      </c>
      <c r="Q16" s="18">
        <f>VLOOKUP($B16,'BaseLine Data'!$B9:$AS21,16,FALSE)</f>
        <v>3222</v>
      </c>
      <c r="R16" s="18">
        <f>VLOOKUP($B16,'BaseLine Data'!$B9:$AS21,17,FALSE)</f>
        <v>7080</v>
      </c>
      <c r="S16" s="18">
        <f>VLOOKUP($B16,'BaseLine Data'!$B9:$AS21,18,FALSE)</f>
        <v>12336</v>
      </c>
      <c r="T16" s="18">
        <f>VLOOKUP($B16,'BaseLine Data'!$B9:$AS21,19,FALSE)</f>
        <v>4254</v>
      </c>
      <c r="U16" s="18">
        <f>VLOOKUP($B16,'BaseLine Data'!$B9:$AS21,20,FALSE)</f>
        <v>293</v>
      </c>
      <c r="V16" s="30">
        <f t="shared" si="6"/>
        <v>36.050847457627121</v>
      </c>
      <c r="W16" s="28">
        <f t="shared" si="5"/>
        <v>1.4250972762645915</v>
      </c>
      <c r="X16" s="29">
        <f t="shared" si="0"/>
        <v>1.6469221835075494</v>
      </c>
      <c r="Y16" s="28">
        <f t="shared" si="1"/>
        <v>9.0937306021104905E-2</v>
      </c>
      <c r="Z16" s="29">
        <f t="shared" si="2"/>
        <v>4.3408163265306126</v>
      </c>
      <c r="AA16" s="28">
        <f t="shared" si="3"/>
        <v>0.20347222222222222</v>
      </c>
      <c r="AB16" s="52" t="str">
        <f>VLOOKUP($B16,'BaseLine Data'!$B9:$AS21,29,FALSE)</f>
        <v>N</v>
      </c>
      <c r="AC16" s="52" t="str">
        <f>VLOOKUP($B16,'BaseLine Data'!$B9:$AS21,30,FALSE)</f>
        <v>Y</v>
      </c>
      <c r="AF16" s="47">
        <f t="shared" si="7"/>
        <v>1.4250972762645915</v>
      </c>
    </row>
    <row r="17" spans="1:32" ht="28">
      <c r="A17" s="17" t="s">
        <v>24</v>
      </c>
      <c r="B17" s="18" t="s">
        <v>29</v>
      </c>
      <c r="C17" s="18">
        <f>VLOOKUP($B17,'BaseLine Data'!$B9:$AS21,2,FALSE)</f>
        <v>1</v>
      </c>
      <c r="D17" s="18" t="str">
        <f>VLOOKUP($B17,'BaseLine Data'!$B9:$AS21,3,FALSE)</f>
        <v>Milton</v>
      </c>
      <c r="E17" s="18">
        <f>VLOOKUP($B17,'BaseLine Data'!$B9:$AS21,4,FALSE)</f>
        <v>1600</v>
      </c>
      <c r="F17" s="18" t="str">
        <f>VLOOKUP($B17,'BaseLine Data'!$B9:$AS21,5,FALSE)</f>
        <v>Garrison Colonial</v>
      </c>
      <c r="G17" s="18">
        <f>VLOOKUP($B17,'BaseLine Data'!$B9:$AS21,6,FALSE)</f>
        <v>2</v>
      </c>
      <c r="H17" s="18">
        <f>VLOOKUP($B17,'BaseLine Data'!$B9:$AS21,7,FALSE)</f>
        <v>1960</v>
      </c>
      <c r="I17" s="18" t="str">
        <f>VLOOKUP($B17,'BaseLine Data'!$B9:$AS21,8,FALSE)</f>
        <v>Complete</v>
      </c>
      <c r="J17" s="18" t="str">
        <f>VLOOKUP($B17,'BaseLine Data'!$B9:$AS21,9,FALSE)</f>
        <v>Y</v>
      </c>
      <c r="K17" s="18" t="str">
        <f>VLOOKUP($B17,'BaseLine Data'!$B9:$AS21,10,FALSE)</f>
        <v>take-off from drawings</v>
      </c>
      <c r="L17" s="18" t="str">
        <f>VLOOKUP($B17,'BaseLine Data'!$B9:$AS21,11,FALSE)</f>
        <v>Included</v>
      </c>
      <c r="M17" s="18" t="str">
        <f>VLOOKUP($B17,'BaseLine Data'!$B9:$AS21,12,FALSE)</f>
        <v>Included</v>
      </c>
      <c r="N17" s="18">
        <f>VLOOKUP($B17,'BaseLine Data'!$B9:$AS21,13,FALSE)</f>
        <v>2368</v>
      </c>
      <c r="O17" s="18">
        <f>VLOOKUP($B17,'BaseLine Data'!$B9:$AS21,14,FALSE)</f>
        <v>2368</v>
      </c>
      <c r="P17" s="18">
        <f>VLOOKUP($B17,'BaseLine Data'!$B9:$AS21,15,FALSE)</f>
        <v>3408</v>
      </c>
      <c r="Q17" s="18">
        <f>VLOOKUP($B17,'BaseLine Data'!$B9:$AS21,16,FALSE)</f>
        <v>3740</v>
      </c>
      <c r="R17" s="18">
        <f>VLOOKUP($B17,'BaseLine Data'!$B9:$AS21,17,FALSE)</f>
        <v>22457.599999999999</v>
      </c>
      <c r="S17" s="18">
        <f>VLOOKUP($B17,'BaseLine Data'!$B9:$AS21,18,FALSE)</f>
        <v>24457.599999999999</v>
      </c>
      <c r="T17" s="18">
        <f>VLOOKUP($B17,'BaseLine Data'!$B9:$AS21,19,FALSE)</f>
        <v>1695</v>
      </c>
      <c r="U17" s="18">
        <f>VLOOKUP($B17,'BaseLine Data'!$B9:$AS21,20,FALSE)</f>
        <v>584</v>
      </c>
      <c r="V17" s="30">
        <f t="shared" si="6"/>
        <v>4.5285337703049304</v>
      </c>
      <c r="W17" s="28">
        <f t="shared" si="5"/>
        <v>1.4326835012429675</v>
      </c>
      <c r="X17" s="29">
        <f t="shared" si="0"/>
        <v>0.49735915492957744</v>
      </c>
      <c r="Y17" s="28">
        <f t="shared" si="1"/>
        <v>0.15614973262032086</v>
      </c>
      <c r="Z17" s="29">
        <f t="shared" si="2"/>
        <v>0.71579391891891897</v>
      </c>
      <c r="AA17" s="28">
        <f t="shared" si="3"/>
        <v>0.24662162162162163</v>
      </c>
      <c r="AB17" s="52" t="str">
        <f>VLOOKUP($B17,'BaseLine Data'!$B9:$AS21,29,FALSE)</f>
        <v>N</v>
      </c>
      <c r="AC17" s="52" t="str">
        <f>VLOOKUP($B17,'BaseLine Data'!$B9:$AS21,30,FALSE)</f>
        <v>Y</v>
      </c>
      <c r="AF17" s="47">
        <f t="shared" si="7"/>
        <v>1.4326835012429675</v>
      </c>
    </row>
    <row r="18" spans="1:32">
      <c r="A18" s="17" t="s">
        <v>24</v>
      </c>
      <c r="B18" s="18" t="s">
        <v>37</v>
      </c>
      <c r="C18" s="18">
        <f>VLOOKUP($B18,'BaseLine Data'!$B9:$AS21,2,FALSE)</f>
        <v>1</v>
      </c>
      <c r="D18" s="18" t="str">
        <f>VLOOKUP($B18,'BaseLine Data'!$B9:$AS21,3,FALSE)</f>
        <v>Brookline</v>
      </c>
      <c r="E18" s="18">
        <f>VLOOKUP($B18,'BaseLine Data'!$B9:$AS21,4,FALSE)</f>
        <v>2284</v>
      </c>
      <c r="F18" s="18" t="str">
        <f>VLOOKUP($B18,'BaseLine Data'!$B9:$AS21,5,FALSE)</f>
        <v>Victorian</v>
      </c>
      <c r="G18" s="18">
        <f>VLOOKUP($B18,'BaseLine Data'!$B9:$AS21,6,FALSE)</f>
        <v>3</v>
      </c>
      <c r="H18" s="18">
        <f>VLOOKUP($B18,'BaseLine Data'!$B9:$AS21,7,FALSE)</f>
        <v>1899</v>
      </c>
      <c r="I18" s="18" t="str">
        <f>VLOOKUP($B18,'BaseLine Data'!$B9:$AS21,8,FALSE)</f>
        <v>Complete</v>
      </c>
      <c r="J18" s="18">
        <f>VLOOKUP($B18,'BaseLine Data'!$B9:$AS21,9,FALSE)</f>
        <v>0</v>
      </c>
      <c r="K18" s="18">
        <f>VLOOKUP($B18,'BaseLine Data'!$B9:$AS21,10,FALSE)</f>
        <v>0</v>
      </c>
      <c r="L18" s="18">
        <f>VLOOKUP($B18,'BaseLine Data'!$B9:$AS21,11,FALSE)</f>
        <v>0</v>
      </c>
      <c r="M18" s="18">
        <f>VLOOKUP($B18,'BaseLine Data'!$B9:$AS21,12,FALSE)</f>
        <v>0</v>
      </c>
      <c r="N18" s="18">
        <f>VLOOKUP($B18,'BaseLine Data'!$B9:$AS21,13,FALSE)</f>
        <v>3078</v>
      </c>
      <c r="O18" s="18">
        <f>VLOOKUP($B18,'BaseLine Data'!$B9:$AS21,14,FALSE)</f>
        <v>3174</v>
      </c>
      <c r="P18" s="18">
        <f>VLOOKUP($B18,'BaseLine Data'!$B9:$AS21,15,FALSE)</f>
        <v>5794</v>
      </c>
      <c r="Q18" s="18">
        <f>VLOOKUP($B18,'BaseLine Data'!$B9:$AS21,16,FALSE)</f>
        <v>5924</v>
      </c>
      <c r="R18" s="18">
        <f>VLOOKUP($B18,'BaseLine Data'!$B9:$AS21,17,FALSE)</f>
        <v>26187</v>
      </c>
      <c r="S18" s="18">
        <f>VLOOKUP($B18,'BaseLine Data'!$B9:$AS21,18,FALSE)</f>
        <v>26187</v>
      </c>
      <c r="T18" s="18">
        <f>VLOOKUP($B18,'BaseLine Data'!$B9:$AS21,19,FALSE)</f>
        <v>1640</v>
      </c>
      <c r="U18" s="18">
        <f>VLOOKUP($B18,'BaseLine Data'!$B9:$AS21,20,FALSE)</f>
        <v>655</v>
      </c>
      <c r="V18" s="30">
        <f t="shared" si="6"/>
        <v>3.7575896437163481</v>
      </c>
      <c r="W18" s="28">
        <f t="shared" si="5"/>
        <v>1.5007446442891512</v>
      </c>
      <c r="X18" s="29">
        <f t="shared" si="0"/>
        <v>0.28305143251639625</v>
      </c>
      <c r="Y18" s="28">
        <f t="shared" si="1"/>
        <v>0.11056718433490885</v>
      </c>
      <c r="Z18" s="29">
        <f t="shared" si="2"/>
        <v>0.53281351526965559</v>
      </c>
      <c r="AA18" s="28">
        <f t="shared" si="3"/>
        <v>0.20636420919974796</v>
      </c>
      <c r="AB18" s="52" t="str">
        <f>VLOOKUP($B18,'BaseLine Data'!$B9:$AS21,29,FALSE)</f>
        <v>N</v>
      </c>
      <c r="AC18" s="52" t="str">
        <f>VLOOKUP($B18,'BaseLine Data'!$B9:$AS21,30,FALSE)</f>
        <v>Y</v>
      </c>
      <c r="AF18" s="47">
        <f t="shared" si="7"/>
        <v>1.5007446442891512</v>
      </c>
    </row>
    <row r="19" spans="1:32">
      <c r="A19" s="17" t="s">
        <v>24</v>
      </c>
      <c r="B19" s="18" t="s">
        <v>34</v>
      </c>
      <c r="C19" s="18">
        <f>VLOOKUP($B19,'BaseLine Data'!$B9:$AS21,2,FALSE)</f>
        <v>3</v>
      </c>
      <c r="D19" s="18" t="str">
        <f>VLOOKUP($B19,'BaseLine Data'!$B9:$AS21,3,FALSE)</f>
        <v>Jamaica Plain</v>
      </c>
      <c r="E19" s="18">
        <f>VLOOKUP($B19,'BaseLine Data'!$B9:$AS21,4,FALSE)</f>
        <v>3885</v>
      </c>
      <c r="F19" s="18" t="str">
        <f>VLOOKUP($B19,'BaseLine Data'!$B9:$AS21,5,FALSE)</f>
        <v>3-family</v>
      </c>
      <c r="G19" s="18">
        <f>VLOOKUP($B19,'BaseLine Data'!$B9:$AS21,6,FALSE)</f>
        <v>3</v>
      </c>
      <c r="H19" s="18">
        <f>VLOOKUP($B19,'BaseLine Data'!$B9:$AS21,7,FALSE)</f>
        <v>1907</v>
      </c>
      <c r="I19" s="18" t="str">
        <f>VLOOKUP($B19,'BaseLine Data'!$B9:$AS21,8,FALSE)</f>
        <v>Complete</v>
      </c>
      <c r="J19" s="18">
        <f>VLOOKUP($B19,'BaseLine Data'!$B9:$AS21,9,FALSE)</f>
        <v>0</v>
      </c>
      <c r="K19" s="18">
        <f>VLOOKUP($B19,'BaseLine Data'!$B9:$AS21,10,FALSE)</f>
        <v>0</v>
      </c>
      <c r="L19" s="18">
        <f>VLOOKUP($B19,'BaseLine Data'!$B9:$AS21,11,FALSE)</f>
        <v>0</v>
      </c>
      <c r="M19" s="18">
        <f>VLOOKUP($B19,'BaseLine Data'!$B9:$AS21,12,FALSE)</f>
        <v>0</v>
      </c>
      <c r="N19" s="18">
        <f>VLOOKUP($B19,'BaseLine Data'!$B9:$AS21,13,FALSE)</f>
        <v>3885</v>
      </c>
      <c r="O19" s="18">
        <f>VLOOKUP($B19,'BaseLine Data'!$B9:$AS21,14,FALSE)</f>
        <v>3885</v>
      </c>
      <c r="P19" s="18">
        <f>VLOOKUP($B19,'BaseLine Data'!$B9:$AS21,15,FALSE)</f>
        <v>6308</v>
      </c>
      <c r="Q19" s="18">
        <f>VLOOKUP($B19,'BaseLine Data'!$B9:$AS21,16,FALSE)</f>
        <v>7456</v>
      </c>
      <c r="R19" s="18">
        <f>VLOOKUP($B19,'BaseLine Data'!$B9:$AS21,17,FALSE)</f>
        <v>42586</v>
      </c>
      <c r="S19" s="18">
        <f>VLOOKUP($B19,'BaseLine Data'!$B9:$AS21,18,FALSE)</f>
        <v>42586</v>
      </c>
      <c r="T19" s="18">
        <f>VLOOKUP($B19,'BaseLine Data'!$B9:$AS21,19,FALSE)</f>
        <v>7729</v>
      </c>
      <c r="U19" s="18">
        <f>VLOOKUP($B19,'BaseLine Data'!$B9:$AS21,20,FALSE)</f>
        <v>1802</v>
      </c>
      <c r="V19" s="30">
        <f t="shared" si="6"/>
        <v>10.889494199971821</v>
      </c>
      <c r="W19" s="28">
        <f t="shared" si="5"/>
        <v>2.5388625369839852</v>
      </c>
      <c r="X19" s="29">
        <f t="shared" si="0"/>
        <v>1.2252694990488269</v>
      </c>
      <c r="Y19" s="28">
        <f t="shared" si="1"/>
        <v>0.24168454935622319</v>
      </c>
      <c r="Z19" s="29">
        <f t="shared" si="2"/>
        <v>1.9894465894465894</v>
      </c>
      <c r="AA19" s="28">
        <f t="shared" si="3"/>
        <v>0.46383526383526386</v>
      </c>
      <c r="AB19" s="52" t="str">
        <f>VLOOKUP($B19,'BaseLine Data'!$B9:$AS21,29,FALSE)</f>
        <v>N</v>
      </c>
      <c r="AC19" s="52" t="str">
        <f>VLOOKUP($B19,'BaseLine Data'!$B9:$AS21,30,FALSE)</f>
        <v>Y</v>
      </c>
      <c r="AE19" s="47">
        <f>W19</f>
        <v>2.5388625369839852</v>
      </c>
    </row>
    <row r="20" spans="1:32" ht="28">
      <c r="A20" s="17" t="s">
        <v>24</v>
      </c>
      <c r="B20" s="18" t="s">
        <v>31</v>
      </c>
      <c r="C20" s="18">
        <f>VLOOKUP($B20,'BaseLine Data'!$B9:$AS21,2,FALSE)</f>
        <v>2</v>
      </c>
      <c r="D20" s="18" t="str">
        <f>VLOOKUP($B20,'BaseLine Data'!$B9:$AS21,3,FALSE)</f>
        <v>Arlington</v>
      </c>
      <c r="E20" s="18">
        <f>VLOOKUP($B20,'BaseLine Data'!$B9:$AS21,4,FALSE)</f>
        <v>2112</v>
      </c>
      <c r="F20" s="18" t="str">
        <f>VLOOKUP($B20,'BaseLine Data'!$B9:$AS21,5,FALSE)</f>
        <v>2 family</v>
      </c>
      <c r="G20" s="18">
        <f>VLOOKUP($B20,'BaseLine Data'!$B9:$AS21,6,FALSE)</f>
        <v>2</v>
      </c>
      <c r="H20" s="18">
        <f>VLOOKUP($B20,'BaseLine Data'!$B9:$AS21,7,FALSE)</f>
        <v>1910</v>
      </c>
      <c r="I20" s="18" t="str">
        <f>VLOOKUP($B20,'BaseLine Data'!$B9:$AS21,8,FALSE)</f>
        <v>Complete</v>
      </c>
      <c r="J20" s="18">
        <f>VLOOKUP($B20,'BaseLine Data'!$B9:$AS21,9,FALSE)</f>
        <v>0</v>
      </c>
      <c r="K20" s="18" t="str">
        <f>VLOOKUP($B20,'BaseLine Data'!$B9:$AS21,10,FALSE)</f>
        <v>take-off from drawings</v>
      </c>
      <c r="L20" s="18" t="str">
        <f>VLOOKUP($B20,'BaseLine Data'!$B9:$AS21,11,FALSE)</f>
        <v>Excluded</v>
      </c>
      <c r="M20" s="18" t="str">
        <f>VLOOKUP($B20,'BaseLine Data'!$B9:$AS21,12,FALSE)</f>
        <v>Excluded</v>
      </c>
      <c r="N20" s="18">
        <f>VLOOKUP($B20,'BaseLine Data'!$B9:$AS21,13,FALSE)</f>
        <v>2502</v>
      </c>
      <c r="O20" s="18">
        <f>VLOOKUP($B20,'BaseLine Data'!$B9:$AS21,14,FALSE)</f>
        <v>3627</v>
      </c>
      <c r="P20" s="18">
        <f>VLOOKUP($B20,'BaseLine Data'!$B9:$AS21,15,FALSE)</f>
        <v>5153</v>
      </c>
      <c r="Q20" s="18">
        <f>VLOOKUP($B20,'BaseLine Data'!$B9:$AS21,16,FALSE)</f>
        <v>5925</v>
      </c>
      <c r="R20" s="18">
        <f>VLOOKUP($B20,'BaseLine Data'!$B9:$AS21,17,FALSE)</f>
        <v>20157</v>
      </c>
      <c r="S20" s="18">
        <f>VLOOKUP($B20,'BaseLine Data'!$B9:$AS21,18,FALSE)</f>
        <v>29648</v>
      </c>
      <c r="T20" s="18">
        <f>VLOOKUP($B20,'BaseLine Data'!$B9:$AS21,19,FALSE)</f>
        <v>8730</v>
      </c>
      <c r="U20" s="18">
        <f>VLOOKUP($B20,'BaseLine Data'!$B9:$AS21,20,FALSE)</f>
        <v>3586</v>
      </c>
      <c r="V20" s="30">
        <f t="shared" si="6"/>
        <v>25.986009822890313</v>
      </c>
      <c r="W20" s="28">
        <f t="shared" si="5"/>
        <v>7.2571505666486775</v>
      </c>
      <c r="X20" s="29">
        <f t="shared" si="0"/>
        <v>1.6941587424801088</v>
      </c>
      <c r="Y20" s="28">
        <f t="shared" si="1"/>
        <v>0.60523206751054848</v>
      </c>
      <c r="Z20" s="29">
        <f t="shared" si="2"/>
        <v>3.4892086330935252</v>
      </c>
      <c r="AA20" s="28">
        <f t="shared" si="3"/>
        <v>0.98869589192169838</v>
      </c>
      <c r="AB20" s="52" t="str">
        <f>VLOOKUP($B20,'BaseLine Data'!$B9:$AS21,29,FALSE)</f>
        <v>N</v>
      </c>
      <c r="AC20" s="52" t="str">
        <f>VLOOKUP($B20,'BaseLine Data'!$B9:$AS21,30,FALSE)</f>
        <v>Y</v>
      </c>
      <c r="AD20" s="47">
        <f>W20</f>
        <v>7.2571505666486775</v>
      </c>
    </row>
    <row r="21" spans="1:32">
      <c r="A21" s="17" t="s">
        <v>24</v>
      </c>
      <c r="B21" s="18" t="s">
        <v>25</v>
      </c>
      <c r="C21" s="18">
        <f>VLOOKUP($B21,'BaseLine Data'!$B9:$AS21,2,FALSE)</f>
        <v>1</v>
      </c>
      <c r="D21" s="18" t="str">
        <f>VLOOKUP($B21,'BaseLine Data'!$B9:$AS21,3,FALSE)</f>
        <v>Belchertown</v>
      </c>
      <c r="E21" s="18">
        <f>VLOOKUP($B21,'BaseLine Data'!$B9:$AS21,4,FALSE)</f>
        <v>1352</v>
      </c>
      <c r="F21" s="18" t="str">
        <f>VLOOKUP($B21,'BaseLine Data'!$B9:$AS21,5,FALSE)</f>
        <v>Cape</v>
      </c>
      <c r="G21" s="18">
        <f>VLOOKUP($B21,'BaseLine Data'!$B9:$AS21,6,FALSE)</f>
        <v>1.5</v>
      </c>
      <c r="H21" s="18">
        <f>VLOOKUP($B21,'BaseLine Data'!$B9:$AS21,7,FALSE)</f>
        <v>1760</v>
      </c>
      <c r="I21" s="18" t="str">
        <f>VLOOKUP($B21,'BaseLine Data'!$B9:$AS21,8,FALSE)</f>
        <v>Complete</v>
      </c>
      <c r="J21" s="18" t="str">
        <f>VLOOKUP($B21,'BaseLine Data'!$B9:$AS21,9,FALSE)</f>
        <v>Y</v>
      </c>
      <c r="K21" s="18" t="str">
        <f>VLOOKUP($B21,'BaseLine Data'!$B9:$AS21,10,FALSE)</f>
        <v>W.A.G.</v>
      </c>
      <c r="L21" s="18" t="str">
        <f>VLOOKUP($B21,'BaseLine Data'!$B9:$AS21,11,FALSE)</f>
        <v>Excluded</v>
      </c>
      <c r="M21" s="18" t="str">
        <f>VLOOKUP($B21,'BaseLine Data'!$B9:$AS21,12,FALSE)</f>
        <v>Included</v>
      </c>
      <c r="N21" s="18">
        <f>VLOOKUP($B21,'BaseLine Data'!$B9:$AS21,13,FALSE)</f>
        <v>1435</v>
      </c>
      <c r="O21" s="18">
        <f>VLOOKUP($B21,'BaseLine Data'!$B9:$AS21,14,FALSE)</f>
        <v>1907</v>
      </c>
      <c r="P21" s="18">
        <f>VLOOKUP($B21,'BaseLine Data'!$B9:$AS21,15,FALSE)</f>
        <v>3726</v>
      </c>
      <c r="Q21" s="18">
        <f>VLOOKUP($B21,'BaseLine Data'!$B9:$AS21,16,FALSE)</f>
        <v>4066</v>
      </c>
      <c r="R21" s="18">
        <f>VLOOKUP($B21,'BaseLine Data'!$B9:$AS21,17,FALSE)</f>
        <v>9448</v>
      </c>
      <c r="S21" s="18">
        <f>VLOOKUP($B21,'BaseLine Data'!$B9:$AS21,18,FALSE)</f>
        <v>14972</v>
      </c>
      <c r="T21" s="18">
        <f>VLOOKUP($B21,'BaseLine Data'!$B9:$AS21,19,FALSE)</f>
        <v>9079</v>
      </c>
      <c r="U21" s="18">
        <f>VLOOKUP($B21,'BaseLine Data'!$B9:$AS21,20,FALSE)</f>
        <v>468</v>
      </c>
      <c r="V21" s="30">
        <f t="shared" si="6"/>
        <v>57.656646909398809</v>
      </c>
      <c r="W21" s="28">
        <f t="shared" si="5"/>
        <v>1.8755009350788139</v>
      </c>
      <c r="X21" s="38">
        <f t="shared" si="0"/>
        <v>2.4366612989801397</v>
      </c>
      <c r="Y21" s="40">
        <f t="shared" si="1"/>
        <v>0.11510083620265617</v>
      </c>
      <c r="Z21" s="38">
        <f t="shared" si="2"/>
        <v>6.3268292682926832</v>
      </c>
      <c r="AA21" s="40">
        <f t="shared" si="3"/>
        <v>0.2454116413214473</v>
      </c>
      <c r="AB21" s="52" t="str">
        <f>VLOOKUP($B21,'BaseLine Data'!$B9:$AS21,29,FALSE)</f>
        <v>N</v>
      </c>
      <c r="AC21" s="52" t="str">
        <f>VLOOKUP($B21,'BaseLine Data'!$B9:$AS21,30,FALSE)</f>
        <v>N</v>
      </c>
      <c r="AF21" s="47">
        <f>W21</f>
        <v>1.8755009350788139</v>
      </c>
    </row>
    <row r="23" spans="1:32">
      <c r="B23" s="51"/>
      <c r="O23" s="50"/>
      <c r="S23" t="s">
        <v>70</v>
      </c>
      <c r="U23" s="47"/>
      <c r="V23" s="45"/>
      <c r="W23" s="47">
        <f>AVERAGE(W9:W14)</f>
        <v>1.4003725917851522</v>
      </c>
      <c r="X23" s="45"/>
      <c r="Y23" s="47"/>
      <c r="AA23" s="45"/>
    </row>
    <row r="24" spans="1:32">
      <c r="B24" s="51"/>
      <c r="S24" t="s">
        <v>73</v>
      </c>
      <c r="U24" s="47"/>
      <c r="V24" s="47"/>
      <c r="W24" s="47">
        <f>MEDIAN(W9:W14)</f>
        <v>1.0387863740647116</v>
      </c>
      <c r="X24" s="47"/>
      <c r="Y24" s="47"/>
    </row>
    <row r="25" spans="1:32">
      <c r="B25" s="51"/>
      <c r="S25" t="s">
        <v>75</v>
      </c>
      <c r="U25" s="47"/>
      <c r="V25" s="45"/>
      <c r="W25" s="47">
        <f>AVERAGE(W15:W19)</f>
        <v>1.6304050791085842</v>
      </c>
      <c r="X25" s="45"/>
      <c r="Y25" s="47"/>
    </row>
    <row r="26" spans="1:32">
      <c r="S26" t="s">
        <v>76</v>
      </c>
      <c r="W26" s="47">
        <f>MEDIAN(W15:W19)</f>
        <v>1.4326835012429675</v>
      </c>
    </row>
    <row r="27" spans="1:32">
      <c r="S27" t="s">
        <v>77</v>
      </c>
      <c r="W27" s="47">
        <f>MEDIAN(W15:W20)</f>
        <v>1.4667140727660595</v>
      </c>
    </row>
    <row r="28" spans="1:32">
      <c r="S28" t="s">
        <v>78</v>
      </c>
      <c r="W28" s="47">
        <f>AVERAGE(W15:W19,W21)</f>
        <v>1.6712543884369557</v>
      </c>
    </row>
    <row r="29" spans="1:32">
      <c r="S29" t="s">
        <v>80</v>
      </c>
      <c r="W29" s="47">
        <f>MEDIAN(W15:W19,W21)</f>
        <v>1.4667140727660595</v>
      </c>
    </row>
    <row r="30" spans="1:32">
      <c r="S30" t="s">
        <v>79</v>
      </c>
      <c r="W30" s="47">
        <f>MEDIAN(W15:W21)</f>
        <v>1.5007446442891512</v>
      </c>
    </row>
    <row r="31" spans="1:32">
      <c r="S31" t="s">
        <v>84</v>
      </c>
      <c r="W31" s="47">
        <f>AVERAGE(W9:W13)</f>
        <v>0.96879627011296421</v>
      </c>
    </row>
    <row r="32" spans="1:32">
      <c r="S32" t="s">
        <v>85</v>
      </c>
      <c r="W32" s="47">
        <f>AVERAGE(W15:W18)</f>
        <v>1.4032907146397342</v>
      </c>
    </row>
  </sheetData>
  <sortState ref="A9:AN21">
    <sortCondition descending="1" ref="AC9:AC21"/>
    <sortCondition descending="1" ref="AB9:AB21"/>
    <sortCondition ref="W9:W21"/>
  </sortState>
  <pageMargins left="0.7" right="0.7" top="0.75" bottom="0.75" header="0.3" footer="0.3"/>
  <pageSetup orientation="portrait"/>
  <drawing r:id="rId1"/>
  <extLst>
    <ext xmlns:x14="http://schemas.microsoft.com/office/spreadsheetml/2009/9/main" uri="{CCE6A557-97BC-4b89-ADB6-D9C93CAAB3DF}">
      <x14:dataValidations xmlns:xm="http://schemas.microsoft.com/office/excel/2006/main" disablePrompts="1" count="2">
        <x14:dataValidation type="list" allowBlank="1" showInputMessage="1" showErrorMessage="1">
          <x14:formula1>
            <xm:f>'[1]Project Statistics'!#REF!</xm:f>
          </x14:formula1>
          <xm:sqref>WVM9:WVM21 JA9:JA21 SW9:SW21 ACS9:ACS21 AMO9:AMO21 AWK9:AWK21 BGG9:BGG21 BQC9:BQC21 BZY9:BZY21 CJU9:CJU21 CTQ9:CTQ21 DDM9:DDM21 DNI9:DNI21 DXE9:DXE21 EHA9:EHA21 EQW9:EQW21 FAS9:FAS21 FKO9:FKO21 FUK9:FUK21 GEG9:GEG21 GOC9:GOC21 GXY9:GXY21 HHU9:HHU21 HRQ9:HRQ21 IBM9:IBM21 ILI9:ILI21 IVE9:IVE21 JFA9:JFA21 JOW9:JOW21 JYS9:JYS21 KIO9:KIO21 KSK9:KSK21 LCG9:LCG21 LMC9:LMC21 LVY9:LVY21 MFU9:MFU21 MPQ9:MPQ21 MZM9:MZM21 NJI9:NJI21 NTE9:NTE21 ODA9:ODA21 OMW9:OMW21 OWS9:OWS21 PGO9:PGO21 PQK9:PQK21 QAG9:QAG21 QKC9:QKC21 QTY9:QTY21 RDU9:RDU21 RNQ9:RNQ21 RXM9:RXM21 SHI9:SHI21 SRE9:SRE21 TBA9:TBA21 TKW9:TKW21 TUS9:TUS21 UEO9:UEO21 UOK9:UOK21 UYG9:UYG21 VIC9:VIC21 VRY9:VRY21 WBU9:WBU21 WLQ9:WLQ21</xm:sqref>
        </x14:dataValidation>
        <x14:dataValidation type="list" allowBlank="1" showInputMessage="1" showErrorMessage="1">
          <x14:formula1>
            <xm:f>'[1]Project Statistics'!#REF!</xm:f>
          </x14:formula1>
          <xm:sqref>WVN9:WVO21 JB9:JC21 SX9:SY21 ACT9:ACU21 AMP9:AMQ21 AWL9:AWM21 BGH9:BGI21 BQD9:BQE21 BZZ9:CAA21 CJV9:CJW21 CTR9:CTS21 DDN9:DDO21 DNJ9:DNK21 DXF9:DXG21 EHB9:EHC21 EQX9:EQY21 FAT9:FAU21 FKP9:FKQ21 FUL9:FUM21 GEH9:GEI21 GOD9:GOE21 GXZ9:GYA21 HHV9:HHW21 HRR9:HRS21 IBN9:IBO21 ILJ9:ILK21 IVF9:IVG21 JFB9:JFC21 JOX9:JOY21 JYT9:JYU21 KIP9:KIQ21 KSL9:KSM21 LCH9:LCI21 LMD9:LME21 LVZ9:LWA21 MFV9:MFW21 MPR9:MPS21 MZN9:MZO21 NJJ9:NJK21 NTF9:NTG21 ODB9:ODC21 OMX9:OMY21 OWT9:OWU21 PGP9:PGQ21 PQL9:PQM21 QAH9:QAI21 QKD9:QKE21 QTZ9:QUA21 RDV9:RDW21 RNR9:RNS21 RXN9:RXO21 SHJ9:SHK21 SRF9:SRG21 TBB9:TBC21 TKX9:TKY21 TUT9:TUU21 UEP9:UEQ21 UOL9:UOM21 UYH9:UYI21 VID9:VIE21 VRZ9:VSA21 WBV9:WBW21 WLR9:WLS21</xm:sqref>
        </x14:dataValidation>
      </x14:dataValidations>
    </ex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7:AI30"/>
  <sheetViews>
    <sheetView topLeftCell="B21" workbookViewId="0">
      <pane xSplit="1" topLeftCell="N1" activePane="topRight" state="frozen"/>
      <selection activeCell="B1" sqref="B1"/>
      <selection pane="topRight" activeCell="W29" sqref="W29"/>
    </sheetView>
  </sheetViews>
  <sheetFormatPr baseColWidth="10" defaultColWidth="8.83203125" defaultRowHeight="14" x14ac:dyDescent="0"/>
  <cols>
    <col min="2" max="2" width="11.6640625" customWidth="1"/>
    <col min="3" max="3" width="8.6640625" customWidth="1"/>
    <col min="4" max="4" width="12.6640625" customWidth="1"/>
    <col min="6" max="6" width="11.5" customWidth="1"/>
    <col min="9" max="9" width="12.5" customWidth="1"/>
    <col min="11" max="11" width="12.5" customWidth="1"/>
    <col min="22" max="22" width="11.5" bestFit="1" customWidth="1"/>
  </cols>
  <sheetData>
    <row r="7" spans="1:35" ht="71" thickBot="1">
      <c r="B7" s="1" t="s">
        <v>0</v>
      </c>
      <c r="C7" s="18" t="str">
        <f>VLOOKUP($B7,'BaseLine Data'!$B7:$AS21,2,FALSE)</f>
        <v>Number of Housing Units</v>
      </c>
      <c r="D7" s="18" t="str">
        <f>VLOOKUP($B7,'BaseLine Data'!$B7:$AS21,3,FALSE)</f>
        <v>Location</v>
      </c>
      <c r="E7" s="18" t="str">
        <f>VLOOKUP($B7,'BaseLine Data'!$B7:$AS21,4,FALSE)</f>
        <v>Pre-DER Cond. Floor Area_x000D_(sq.ft.)</v>
      </c>
      <c r="F7" s="18" t="str">
        <f>VLOOKUP($B7,'BaseLine Data'!$B7:$AS21,5,FALSE)</f>
        <v>Building Type</v>
      </c>
      <c r="G7" s="18" t="str">
        <f>VLOOKUP($B7,'BaseLine Data'!$B7:$AS21,6,FALSE)</f>
        <v>Stories</v>
      </c>
      <c r="H7" s="18" t="str">
        <f>VLOOKUP($B7,'BaseLine Data'!$B7:$AS21,7,FALSE)</f>
        <v>Approx. Year Built</v>
      </c>
      <c r="I7" s="18" t="str">
        <f>VLOOKUP($B7,'BaseLine Data'!$B7:$AS21,8,FALSE)</f>
        <v>Status</v>
      </c>
      <c r="J7" s="18" t="str">
        <f>VLOOKUP($B7,'BaseLine Data'!$B7:$AS21,9,FALSE)</f>
        <v>Double checked numbers? (Y/N)</v>
      </c>
      <c r="K7" s="18" t="str">
        <f>VLOOKUP($B7,'BaseLine Data'!$B7:$AS21,10,FALSE)</f>
        <v>Source for Geometry Data</v>
      </c>
      <c r="L7" s="18" t="str">
        <f>VLOOKUP($B7,'BaseLine Data'!$B7:$AS21,11,FALSE)</f>
        <v>Pre-Retrofit Basement</v>
      </c>
      <c r="M7" s="18" t="str">
        <f>VLOOKUP($B7,'BaseLine Data'!$B7:$AS21,12,FALSE)</f>
        <v>Post Retrofit Basement</v>
      </c>
      <c r="N7" s="18" t="str">
        <f>VLOOKUP($B7,'BaseLine Data'!$B7:$AS21,13,FALSE)</f>
        <v>Pre-DER Cond. Floor Area_x000D_(sq.ft.)</v>
      </c>
      <c r="O7" s="18" t="str">
        <f>VLOOKUP($B7,'BaseLine Data'!$B7:$AS21,14,FALSE)</f>
        <v>Post-DER Con. Floor Area        (sq.ft.)</v>
      </c>
      <c r="P7" s="18" t="str">
        <f>VLOOKUP($B7,'BaseLine Data'!$B7:$AS21,15,FALSE)</f>
        <v>Pre-DER Enclosure Area (sf)</v>
      </c>
      <c r="Q7" s="18" t="str">
        <f>VLOOKUP($B7,'BaseLine Data'!$B7:$AS21,16,FALSE)</f>
        <v>Post-DER Enclosure Area (sf)</v>
      </c>
      <c r="R7" s="18" t="str">
        <f>VLOOKUP($B7,'BaseLine Data'!$B7:$AS21,17,FALSE)</f>
        <v>Pre-DER Volume (ft3)</v>
      </c>
      <c r="S7" s="18" t="str">
        <f>VLOOKUP($B7,'BaseLine Data'!$B7:$AS21,18,FALSE)</f>
        <v>Post-DER Volume (ft3)</v>
      </c>
      <c r="T7" s="18" t="str">
        <f>VLOOKUP($B7,'BaseLine Data'!$B7:$AS21,19,FALSE)</f>
        <v>Pre-DER   CFM 50</v>
      </c>
      <c r="U7" s="18" t="str">
        <f>VLOOKUP($B7,'BaseLine Data'!$B7:$AS21,20,FALSE)</f>
        <v>Post-DER CFM 50</v>
      </c>
      <c r="V7" s="18" t="str">
        <f>VLOOKUP($B7,'BaseLine Data'!$B7:$AS21,21,FALSE)</f>
        <v xml:space="preserve">Pre-DER   ACH 50 </v>
      </c>
      <c r="W7" s="18" t="str">
        <f>VLOOKUP($B7,'BaseLine Data'!$B7:$AS21,22,FALSE)</f>
        <v xml:space="preserve">Post-DER ACH 50 </v>
      </c>
      <c r="X7" s="18" t="str">
        <f>VLOOKUP($B7,'BaseLine Data'!$B7:$AS21,23,FALSE)</f>
        <v>Pre-DER   CFM 50 per Sq.Ft. of Enclosure</v>
      </c>
      <c r="Y7" s="18" t="str">
        <f>VLOOKUP($B7,'BaseLine Data'!$B7:$AS21,24,FALSE)</f>
        <v>Post-DER CFM 50 per Sq. Ft. of Enclosure</v>
      </c>
      <c r="Z7" s="18" t="str">
        <f>VLOOKUP($B7,'BaseLine Data'!$B7:$AS21,25,FALSE)</f>
        <v>Pre-DER CFM/sf Conditioned floor area</v>
      </c>
      <c r="AA7" s="18" t="str">
        <f>VLOOKUP($B7,'BaseLine Data'!$B7:$AS21,26,FALSE)</f>
        <v>Post-DER CFM/sf Conditioned floor area</v>
      </c>
      <c r="AB7" s="52" t="str">
        <f>VLOOKUP($B7,'BaseLine Data'!$B7:$AS21,31,FALSE)</f>
        <v>Spray Foam in Roof/Attic: Y/N</v>
      </c>
      <c r="AC7" s="52" t="str">
        <f>VLOOKUP($B7,'BaseLine Data'!$B7:$AS21,32,FALSE)</f>
        <v>Spray Foam in Walls: Y/N</v>
      </c>
      <c r="AD7" s="54" t="s">
        <v>86</v>
      </c>
      <c r="AE7" s="54" t="s">
        <v>88</v>
      </c>
      <c r="AF7" s="54" t="s">
        <v>87</v>
      </c>
      <c r="AG7" s="54" t="s">
        <v>90</v>
      </c>
      <c r="AH7" s="54" t="s">
        <v>89</v>
      </c>
      <c r="AI7" s="54" t="s">
        <v>95</v>
      </c>
    </row>
    <row r="8" spans="1:35" ht="52">
      <c r="A8" s="9"/>
      <c r="B8" s="10" t="s">
        <v>23</v>
      </c>
      <c r="C8" s="11"/>
      <c r="D8" s="11"/>
      <c r="E8" s="11"/>
      <c r="F8" s="11"/>
      <c r="G8" s="11"/>
      <c r="H8" s="11"/>
      <c r="I8" s="11"/>
      <c r="J8" s="11"/>
      <c r="K8" s="11"/>
      <c r="L8" s="11"/>
      <c r="M8" s="11"/>
      <c r="N8" s="12"/>
      <c r="O8" s="13"/>
      <c r="P8" s="12"/>
      <c r="Q8" s="13"/>
      <c r="R8" s="12"/>
      <c r="S8" s="14"/>
      <c r="T8" s="15"/>
      <c r="U8" s="15"/>
      <c r="V8" s="16"/>
      <c r="W8" s="14"/>
      <c r="X8" s="15"/>
      <c r="Y8" s="14"/>
      <c r="Z8" s="15"/>
      <c r="AA8" s="14"/>
      <c r="AB8" s="53"/>
      <c r="AC8" s="53"/>
    </row>
    <row r="9" spans="1:35" ht="28">
      <c r="A9" s="17" t="s">
        <v>24</v>
      </c>
      <c r="B9" s="18" t="s">
        <v>30</v>
      </c>
      <c r="C9" s="18">
        <f>VLOOKUP($B9,'BaseLine Data'!$B9:$AS21,2,FALSE)</f>
        <v>1</v>
      </c>
      <c r="D9" s="18" t="str">
        <f>VLOOKUP($B9,'BaseLine Data'!$B9:$AT21,3,FALSE)</f>
        <v>Quincy</v>
      </c>
      <c r="E9" s="18">
        <f>VLOOKUP($B9,'BaseLine Data'!$B9:$AT21,4,FALSE)</f>
        <v>1808</v>
      </c>
      <c r="F9" s="18" t="str">
        <f>VLOOKUP($B9,'BaseLine Data'!$B9:$AT21,5,FALSE)</f>
        <v>bungalow</v>
      </c>
      <c r="G9" s="18">
        <f>VLOOKUP($B9,'BaseLine Data'!$B9:$AT21,6,FALSE)</f>
        <v>1.5</v>
      </c>
      <c r="H9" s="18">
        <f>VLOOKUP($B9,'BaseLine Data'!$B9:$AT21,7,FALSE)</f>
        <v>1905</v>
      </c>
      <c r="I9" s="18" t="str">
        <f>VLOOKUP($B9,'BaseLine Data'!$B9:$AT21,8,FALSE)</f>
        <v>Complete</v>
      </c>
      <c r="J9" s="18" t="str">
        <f>VLOOKUP($B9,'BaseLine Data'!$B9:$AT21,9,FALSE)</f>
        <v>Y</v>
      </c>
      <c r="K9" s="18" t="str">
        <f>VLOOKUP($B9,'BaseLine Data'!$B9:$AT21,10,FALSE)</f>
        <v>take-off from model</v>
      </c>
      <c r="L9" s="18" t="str">
        <f>VLOOKUP($B9,'BaseLine Data'!$B9:$AT21,11,FALSE)</f>
        <v>Included</v>
      </c>
      <c r="M9" s="18" t="str">
        <f>VLOOKUP($B9,'BaseLine Data'!$B9:$AT21,12,FALSE)</f>
        <v>Included</v>
      </c>
      <c r="N9" s="18">
        <f>VLOOKUP($B9,'BaseLine Data'!$B9:$AT21,13,FALSE)</f>
        <v>3484</v>
      </c>
      <c r="O9" s="18">
        <f>VLOOKUP($B9,'BaseLine Data'!$B9:$AT21,14,FALSE)</f>
        <v>4576</v>
      </c>
      <c r="P9" s="18">
        <f>VLOOKUP($B9,'BaseLine Data'!$B9:$AT21,15,FALSE)</f>
        <v>5340</v>
      </c>
      <c r="Q9" s="18">
        <f>VLOOKUP($B9,'BaseLine Data'!$B9:$AT21,16,FALSE)</f>
        <v>6806</v>
      </c>
      <c r="R9" s="18">
        <f>VLOOKUP($B9,'BaseLine Data'!$B9:$AT21,17,FALSE)</f>
        <v>16350</v>
      </c>
      <c r="S9" s="18">
        <f>VLOOKUP($B9,'BaseLine Data'!$B9:$AS21,18,FALSE)</f>
        <v>36346</v>
      </c>
      <c r="T9" s="18">
        <f>VLOOKUP($B9,'BaseLine Data'!$B9:$AS21,19,FALSE)</f>
        <v>5050</v>
      </c>
      <c r="U9" s="18">
        <f>VLOOKUP($B9,'BaseLine Data'!$B9:$AS21,20,FALSE)</f>
        <v>762</v>
      </c>
      <c r="V9" s="35">
        <v>18.53</v>
      </c>
      <c r="W9" s="30">
        <f t="shared" ref="W9:W21" si="0">U9*60*(1/S9)</f>
        <v>1.2579100863919002</v>
      </c>
      <c r="X9" s="39">
        <f t="shared" ref="X9:Y21" si="1">T9/P9</f>
        <v>0.94569288389513106</v>
      </c>
      <c r="Y9" s="37">
        <f t="shared" si="1"/>
        <v>0.11196003526300323</v>
      </c>
      <c r="Z9" s="39">
        <f t="shared" ref="Z9:AA21" si="2">T9/N9</f>
        <v>1.4494833524684272</v>
      </c>
      <c r="AA9" s="37">
        <f t="shared" si="2"/>
        <v>0.16652097902097901</v>
      </c>
      <c r="AB9" s="52" t="str">
        <f>VLOOKUP($B9,'BaseLine Data'!$B9:$AS21,31,FALSE)</f>
        <v>Y</v>
      </c>
      <c r="AC9" s="52" t="str">
        <f>VLOOKUP($B9,'BaseLine Data'!$B9:$AS21,32,FALSE)</f>
        <v>Y</v>
      </c>
      <c r="AD9">
        <v>0</v>
      </c>
      <c r="AE9">
        <v>0</v>
      </c>
      <c r="AF9">
        <v>0</v>
      </c>
      <c r="AG9" s="47">
        <f>AE9+AF9</f>
        <v>0</v>
      </c>
      <c r="AH9" s="47">
        <f>W9</f>
        <v>1.2579100863919002</v>
      </c>
    </row>
    <row r="10" spans="1:35" ht="70">
      <c r="A10" s="17" t="s">
        <v>24</v>
      </c>
      <c r="B10" s="24" t="s">
        <v>36</v>
      </c>
      <c r="C10" s="18">
        <f>VLOOKUP($B10,'BaseLine Data'!$B9:$AS21,2,FALSE)</f>
        <v>1</v>
      </c>
      <c r="D10" s="18" t="str">
        <f>VLOOKUP($B10,'BaseLine Data'!$B9:$AS21,3,FALSE)</f>
        <v>Lancaster</v>
      </c>
      <c r="E10" s="18">
        <f>VLOOKUP($B10,'BaseLine Data'!$B9:$AS21,4,FALSE)</f>
        <v>908</v>
      </c>
      <c r="F10" s="18" t="str">
        <f>VLOOKUP($B10,'BaseLine Data'!$B9:$AS21,5,FALSE)</f>
        <v>Cape to Colonial</v>
      </c>
      <c r="G10" s="18">
        <f>VLOOKUP($B10,'BaseLine Data'!$B9:$AS21,6,FALSE)</f>
        <v>2</v>
      </c>
      <c r="H10" s="18">
        <f>VLOOKUP($B10,'BaseLine Data'!$B9:$AS21,7,FALSE)</f>
        <v>1900</v>
      </c>
      <c r="I10" s="18" t="str">
        <f>VLOOKUP($B10,'BaseLine Data'!$B9:$AS21,8,FALSE)</f>
        <v>Complete</v>
      </c>
      <c r="J10" s="18" t="str">
        <f>VLOOKUP($B10,'BaseLine Data'!$B9:$AS21,9,FALSE)</f>
        <v>Y</v>
      </c>
      <c r="K10" s="18">
        <f>VLOOKUP($B10,'BaseLine Data'!$B9:$AS21,10,FALSE)</f>
        <v>0</v>
      </c>
      <c r="L10" s="18">
        <f>VLOOKUP($B10,'BaseLine Data'!$B9:$AS21,11,FALSE)</f>
        <v>0</v>
      </c>
      <c r="M10" s="18">
        <f>VLOOKUP($B10,'BaseLine Data'!$B9:$AS21,12,FALSE)</f>
        <v>0</v>
      </c>
      <c r="N10" s="18">
        <f>VLOOKUP($B10,'BaseLine Data'!$B9:$AS21,13,FALSE)</f>
        <v>980</v>
      </c>
      <c r="O10" s="18">
        <f>VLOOKUP($B10,'BaseLine Data'!$B9:$AS21,14,FALSE)</f>
        <v>1440</v>
      </c>
      <c r="P10" s="18">
        <f>VLOOKUP($B10,'BaseLine Data'!$B9:$AS21,15,FALSE)</f>
        <v>2583</v>
      </c>
      <c r="Q10" s="18">
        <f>VLOOKUP($B10,'BaseLine Data'!$B9:$AS21,16,FALSE)</f>
        <v>3222</v>
      </c>
      <c r="R10" s="18">
        <f>VLOOKUP($B10,'BaseLine Data'!$B9:$AS21,17,FALSE)</f>
        <v>7080</v>
      </c>
      <c r="S10" s="18">
        <f>VLOOKUP($B10,'BaseLine Data'!$B9:$AS21,18,FALSE)</f>
        <v>12336</v>
      </c>
      <c r="T10" s="18">
        <f>VLOOKUP($B10,'BaseLine Data'!$B9:$AS21,19,FALSE)</f>
        <v>4254</v>
      </c>
      <c r="U10" s="18">
        <f>VLOOKUP($B10,'BaseLine Data'!$B9:$AS21,20,FALSE)</f>
        <v>293</v>
      </c>
      <c r="V10" s="30">
        <f t="shared" ref="V10:V20" si="3">T10*60*(1/R10)</f>
        <v>36.050847457627121</v>
      </c>
      <c r="W10" s="30">
        <f t="shared" si="0"/>
        <v>1.4250972762645915</v>
      </c>
      <c r="X10" s="39">
        <f t="shared" si="1"/>
        <v>1.6469221835075494</v>
      </c>
      <c r="Y10" s="37">
        <f t="shared" si="1"/>
        <v>9.0937306021104905E-2</v>
      </c>
      <c r="Z10" s="39">
        <f t="shared" si="2"/>
        <v>4.3408163265306126</v>
      </c>
      <c r="AA10" s="37">
        <f t="shared" si="2"/>
        <v>0.20347222222222222</v>
      </c>
      <c r="AB10" s="52" t="str">
        <f>VLOOKUP($B10,'BaseLine Data'!$B9:$AS21,31,FALSE)</f>
        <v>Y</v>
      </c>
      <c r="AC10" s="52" t="str">
        <f>VLOOKUP($B10,'BaseLine Data'!$B9:$AS21,32,FALSE)</f>
        <v>Y</v>
      </c>
      <c r="AD10">
        <v>0</v>
      </c>
      <c r="AE10">
        <v>0</v>
      </c>
      <c r="AF10" s="47">
        <f>W10</f>
        <v>1.4250972762645915</v>
      </c>
      <c r="AG10" s="47">
        <f t="shared" ref="AG10:AG21" si="4">AE10+AF10</f>
        <v>1.4250972762645915</v>
      </c>
      <c r="AH10">
        <v>0</v>
      </c>
    </row>
    <row r="11" spans="1:35">
      <c r="A11" s="17" t="s">
        <v>24</v>
      </c>
      <c r="B11" s="18" t="s">
        <v>25</v>
      </c>
      <c r="C11" s="18">
        <f>VLOOKUP($B11,'BaseLine Data'!$B9:$AS21,2,FALSE)</f>
        <v>1</v>
      </c>
      <c r="D11" s="18" t="str">
        <f>VLOOKUP($B11,'BaseLine Data'!$B9:$AS21,3,FALSE)</f>
        <v>Belchertown</v>
      </c>
      <c r="E11" s="18">
        <f>VLOOKUP($B11,'BaseLine Data'!$B9:$AS21,4,FALSE)</f>
        <v>1352</v>
      </c>
      <c r="F11" s="18" t="str">
        <f>VLOOKUP($B11,'BaseLine Data'!$B9:$AS21,5,FALSE)</f>
        <v>Cape</v>
      </c>
      <c r="G11" s="18">
        <f>VLOOKUP($B11,'BaseLine Data'!$B9:$AS21,6,FALSE)</f>
        <v>1.5</v>
      </c>
      <c r="H11" s="18">
        <f>VLOOKUP($B11,'BaseLine Data'!$B9:$AS21,7,FALSE)</f>
        <v>1760</v>
      </c>
      <c r="I11" s="18" t="str">
        <f>VLOOKUP($B11,'BaseLine Data'!$B9:$AS21,8,FALSE)</f>
        <v>Complete</v>
      </c>
      <c r="J11" s="18" t="str">
        <f>VLOOKUP($B11,'BaseLine Data'!$B9:$AS21,9,FALSE)</f>
        <v>Y</v>
      </c>
      <c r="K11" s="18" t="str">
        <f>VLOOKUP($B11,'BaseLine Data'!$B9:$AS21,10,FALSE)</f>
        <v>W.A.G.</v>
      </c>
      <c r="L11" s="18" t="str">
        <f>VLOOKUP($B11,'BaseLine Data'!$B9:$AS21,11,FALSE)</f>
        <v>Excluded</v>
      </c>
      <c r="M11" s="18" t="str">
        <f>VLOOKUP($B11,'BaseLine Data'!$B9:$AS21,12,FALSE)</f>
        <v>Included</v>
      </c>
      <c r="N11" s="18">
        <f>VLOOKUP($B11,'BaseLine Data'!$B9:$AS21,13,FALSE)</f>
        <v>1435</v>
      </c>
      <c r="O11" s="18">
        <f>VLOOKUP($B11,'BaseLine Data'!$B9:$AS21,14,FALSE)</f>
        <v>1907</v>
      </c>
      <c r="P11" s="18">
        <f>VLOOKUP($B11,'BaseLine Data'!$B9:$AS21,15,FALSE)</f>
        <v>3726</v>
      </c>
      <c r="Q11" s="18">
        <f>VLOOKUP($B11,'BaseLine Data'!$B9:$AS21,16,FALSE)</f>
        <v>4066</v>
      </c>
      <c r="R11" s="18">
        <f>VLOOKUP($B11,'BaseLine Data'!$B9:$AS21,17,FALSE)</f>
        <v>9448</v>
      </c>
      <c r="S11" s="18">
        <f>VLOOKUP($B11,'BaseLine Data'!$B9:$AS21,18,FALSE)</f>
        <v>14972</v>
      </c>
      <c r="T11" s="18">
        <f>VLOOKUP($B11,'BaseLine Data'!$B9:$AS21,19,FALSE)</f>
        <v>9079</v>
      </c>
      <c r="U11" s="18">
        <f>VLOOKUP($B11,'BaseLine Data'!$B9:$AS21,20,FALSE)</f>
        <v>468</v>
      </c>
      <c r="V11" s="30">
        <f t="shared" si="3"/>
        <v>57.656646909398809</v>
      </c>
      <c r="W11" s="28">
        <f t="shared" si="0"/>
        <v>1.8755009350788139</v>
      </c>
      <c r="X11" s="38">
        <f t="shared" si="1"/>
        <v>2.4366612989801397</v>
      </c>
      <c r="Y11" s="40">
        <f t="shared" si="1"/>
        <v>0.11510083620265617</v>
      </c>
      <c r="Z11" s="38">
        <f t="shared" si="2"/>
        <v>6.3268292682926832</v>
      </c>
      <c r="AA11" s="40">
        <f t="shared" si="2"/>
        <v>0.2454116413214473</v>
      </c>
      <c r="AB11" s="52" t="str">
        <f>VLOOKUP($B11,'BaseLine Data'!$B9:$AS21,31,FALSE)</f>
        <v>Y</v>
      </c>
      <c r="AC11" s="52" t="str">
        <f>VLOOKUP($B11,'BaseLine Data'!$B9:$AS21,32,FALSE)</f>
        <v>Y</v>
      </c>
      <c r="AD11" s="47">
        <f>W11</f>
        <v>1.8755009350788139</v>
      </c>
      <c r="AE11">
        <v>0</v>
      </c>
      <c r="AF11">
        <v>0</v>
      </c>
      <c r="AG11" s="47">
        <f t="shared" si="4"/>
        <v>0</v>
      </c>
      <c r="AH11">
        <v>0</v>
      </c>
    </row>
    <row r="12" spans="1:35">
      <c r="A12" s="17" t="s">
        <v>24</v>
      </c>
      <c r="B12" s="18" t="s">
        <v>38</v>
      </c>
      <c r="C12" s="18">
        <f>VLOOKUP($B12,'BaseLine Data'!$B9:$AS21,2,FALSE)</f>
        <v>1</v>
      </c>
      <c r="D12" s="18" t="str">
        <f>VLOOKUP($B12,'BaseLine Data'!$B9:$AS21,3,FALSE)</f>
        <v>Westford</v>
      </c>
      <c r="E12" s="18">
        <f>VLOOKUP($B12,'BaseLine Data'!$B9:$AS21,4,FALSE)</f>
        <v>2906</v>
      </c>
      <c r="F12" s="18" t="str">
        <f>VLOOKUP($B12,'BaseLine Data'!$B9:$AS21,5,FALSE)</f>
        <v>Colonial</v>
      </c>
      <c r="G12" s="18">
        <f>VLOOKUP($B12,'BaseLine Data'!$B9:$AS21,6,FALSE)</f>
        <v>2</v>
      </c>
      <c r="H12" s="18">
        <f>VLOOKUP($B12,'BaseLine Data'!$B9:$AS21,7,FALSE)</f>
        <v>1993</v>
      </c>
      <c r="I12" s="18" t="str">
        <f>VLOOKUP($B12,'BaseLine Data'!$B9:$AS21,8,FALSE)</f>
        <v>Complete</v>
      </c>
      <c r="J12" s="18">
        <f>VLOOKUP($B12,'BaseLine Data'!$B9:$AS21,9,FALSE)</f>
        <v>0</v>
      </c>
      <c r="K12" s="18" t="str">
        <f>VLOOKUP($B12,'BaseLine Data'!$B9:$AS21,10,FALSE)</f>
        <v>application</v>
      </c>
      <c r="L12" s="18">
        <f>VLOOKUP($B12,'BaseLine Data'!$B9:$AS21,11,FALSE)</f>
        <v>0</v>
      </c>
      <c r="M12" s="18">
        <f>VLOOKUP($B12,'BaseLine Data'!$B9:$AS21,12,FALSE)</f>
        <v>0</v>
      </c>
      <c r="N12" s="18">
        <f>VLOOKUP($B12,'BaseLine Data'!$B9:$AS21,13,FALSE)</f>
        <v>2906</v>
      </c>
      <c r="O12" s="18">
        <f>VLOOKUP($B12,'BaseLine Data'!$B9:$AS21,14,FALSE)</f>
        <v>3955</v>
      </c>
      <c r="P12" s="18">
        <f>VLOOKUP($B12,'BaseLine Data'!$B9:$AS21,15,FALSE)</f>
        <v>7325</v>
      </c>
      <c r="Q12" s="18">
        <f>VLOOKUP($B12,'BaseLine Data'!$B9:$AS21,16,FALSE)</f>
        <v>9538</v>
      </c>
      <c r="R12" s="18">
        <f>VLOOKUP($B12,'BaseLine Data'!$B9:$AS21,17,FALSE)</f>
        <v>32226</v>
      </c>
      <c r="S12" s="18">
        <f>VLOOKUP($B12,'BaseLine Data'!$B9:$AS21,18,FALSE)</f>
        <v>44475</v>
      </c>
      <c r="T12" s="18">
        <f>VLOOKUP($B12,'BaseLine Data'!$B9:$AS21,19,FALSE)</f>
        <v>2592</v>
      </c>
      <c r="U12" s="18">
        <f>VLOOKUP($B12,'BaseLine Data'!$B9:$AS21,20,FALSE)</f>
        <v>930</v>
      </c>
      <c r="V12" s="30">
        <f t="shared" si="3"/>
        <v>4.8259169614596908</v>
      </c>
      <c r="W12" s="28">
        <f t="shared" si="0"/>
        <v>1.2546374367622262</v>
      </c>
      <c r="X12" s="29">
        <f t="shared" si="1"/>
        <v>0.35385665529010241</v>
      </c>
      <c r="Y12" s="34">
        <f t="shared" si="1"/>
        <v>9.7504717970224364E-2</v>
      </c>
      <c r="Z12" s="29">
        <f t="shared" si="2"/>
        <v>0.89194769442532695</v>
      </c>
      <c r="AA12" s="28">
        <f t="shared" si="2"/>
        <v>0.23514538558786346</v>
      </c>
      <c r="AB12" s="52" t="str">
        <f>VLOOKUP($B12,'BaseLine Data'!$B9:$AS21,31,FALSE)</f>
        <v>Y</v>
      </c>
      <c r="AC12" s="52" t="str">
        <f>VLOOKUP($B12,'BaseLine Data'!$B9:$AS21,32,FALSE)</f>
        <v>N</v>
      </c>
      <c r="AD12">
        <v>0</v>
      </c>
      <c r="AE12" s="47">
        <f>W12</f>
        <v>1.2546374367622262</v>
      </c>
      <c r="AF12">
        <v>0</v>
      </c>
      <c r="AG12" s="47">
        <f t="shared" si="4"/>
        <v>1.2546374367622262</v>
      </c>
      <c r="AH12">
        <v>0</v>
      </c>
    </row>
    <row r="13" spans="1:35">
      <c r="A13" s="17" t="s">
        <v>24</v>
      </c>
      <c r="B13" s="18" t="s">
        <v>28</v>
      </c>
      <c r="C13" s="18">
        <f>VLOOKUP($B13,'BaseLine Data'!$B9:$AS21,2,FALSE)</f>
        <v>1</v>
      </c>
      <c r="D13" s="18" t="str">
        <f>VLOOKUP($B13,'BaseLine Data'!$B9:$AS21,3,FALSE)</f>
        <v>Millbury</v>
      </c>
      <c r="E13" s="18">
        <f>VLOOKUP($B13,'BaseLine Data'!$B9:$AS21,4,FALSE)</f>
        <v>1100</v>
      </c>
      <c r="F13" s="18">
        <f>VLOOKUP($B13,'BaseLine Data'!$B9:$AS21,4,FALSE)</f>
        <v>1100</v>
      </c>
      <c r="G13" s="18">
        <f>VLOOKUP($B13,'BaseLine Data'!$B9:$AS21,6,FALSE)</f>
        <v>1.5</v>
      </c>
      <c r="H13" s="18">
        <f>VLOOKUP($B13,'BaseLine Data'!$B9:$AS21,7,FALSE)</f>
        <v>1953</v>
      </c>
      <c r="I13" s="18" t="str">
        <f>VLOOKUP($B13,'BaseLine Data'!$B9:$AS21,8,FALSE)</f>
        <v>Complete</v>
      </c>
      <c r="J13" s="18" t="str">
        <f>VLOOKUP($B13,'BaseLine Data'!$B9:$AS21,9,FALSE)</f>
        <v>?</v>
      </c>
      <c r="K13" s="18">
        <f>VLOOKUP($B13,'BaseLine Data'!$B9:$AS21,10,FALSE)</f>
        <v>0</v>
      </c>
      <c r="L13" s="18" t="str">
        <f>VLOOKUP($B13,'BaseLine Data'!$B9:$AS21,11,FALSE)</f>
        <v>Included</v>
      </c>
      <c r="M13" s="18" t="str">
        <f>VLOOKUP($B13,'BaseLine Data'!$B9:$AS21,12,FALSE)</f>
        <v>Included</v>
      </c>
      <c r="N13" s="18">
        <f>VLOOKUP($B13,'BaseLine Data'!$B9:$AS21,13,FALSE)</f>
        <v>1868</v>
      </c>
      <c r="O13" s="18">
        <f>VLOOKUP($B13,'BaseLine Data'!$B9:$AS21,14,FALSE)</f>
        <v>1868</v>
      </c>
      <c r="P13" s="18">
        <f>VLOOKUP($B13,'BaseLine Data'!$B9:$AS21,15,FALSE)</f>
        <v>4278</v>
      </c>
      <c r="Q13" s="18">
        <f>VLOOKUP($B13,'BaseLine Data'!$B9:$AS21,16,FALSE)</f>
        <v>4278</v>
      </c>
      <c r="R13" s="18">
        <f>VLOOKUP($B13,'BaseLine Data'!$B9:$AS21,17,FALSE)</f>
        <v>17000</v>
      </c>
      <c r="S13" s="18">
        <f>VLOOKUP($B13,'BaseLine Data'!$B9:$AS21,18,FALSE)</f>
        <v>17000</v>
      </c>
      <c r="T13" s="18">
        <f>VLOOKUP($B13,'BaseLine Data'!$B9:$AS21,19,FALSE)</f>
        <v>2860</v>
      </c>
      <c r="U13" s="18">
        <f>VLOOKUP($B13,'BaseLine Data'!$B9:$AS21,20,FALSE)</f>
        <v>402</v>
      </c>
      <c r="V13" s="36">
        <f t="shared" si="3"/>
        <v>10.094117647058823</v>
      </c>
      <c r="W13" s="28">
        <f t="shared" si="0"/>
        <v>1.4188235294117648</v>
      </c>
      <c r="X13" s="29">
        <f t="shared" si="1"/>
        <v>0.66853669939223936</v>
      </c>
      <c r="Y13" s="28">
        <f t="shared" si="1"/>
        <v>9.3969144460028048E-2</v>
      </c>
      <c r="Z13" s="29">
        <f t="shared" si="2"/>
        <v>1.5310492505353319</v>
      </c>
      <c r="AA13" s="28">
        <f t="shared" si="2"/>
        <v>0.21520342612419699</v>
      </c>
      <c r="AB13" s="52" t="str">
        <f>VLOOKUP($B13,'BaseLine Data'!$B9:$AS21,31,FALSE)</f>
        <v>Y</v>
      </c>
      <c r="AC13" s="52" t="str">
        <f>VLOOKUP($B13,'BaseLine Data'!$B9:$AS21,32,FALSE)</f>
        <v>N</v>
      </c>
      <c r="AD13">
        <v>0</v>
      </c>
      <c r="AE13">
        <v>0</v>
      </c>
      <c r="AF13">
        <v>0</v>
      </c>
      <c r="AG13" s="47">
        <f t="shared" si="4"/>
        <v>0</v>
      </c>
      <c r="AH13" s="47">
        <f>W13</f>
        <v>1.4188235294117648</v>
      </c>
    </row>
    <row r="14" spans="1:35" ht="28">
      <c r="A14" s="17" t="s">
        <v>24</v>
      </c>
      <c r="B14" s="18" t="s">
        <v>29</v>
      </c>
      <c r="C14" s="18">
        <f>VLOOKUP($B14,'BaseLine Data'!$B9:$AS21,2,FALSE)</f>
        <v>1</v>
      </c>
      <c r="D14" s="18" t="str">
        <f>VLOOKUP($B14,'BaseLine Data'!$B9:$AS21,3,FALSE)</f>
        <v>Milton</v>
      </c>
      <c r="E14" s="18">
        <f>VLOOKUP($B14,'BaseLine Data'!$B9:$AS21,4,FALSE)</f>
        <v>1600</v>
      </c>
      <c r="F14" s="18" t="str">
        <f>VLOOKUP($B14,'BaseLine Data'!$B9:$AS21,5,FALSE)</f>
        <v>Garrison Colonial</v>
      </c>
      <c r="G14" s="18">
        <f>VLOOKUP($B14,'BaseLine Data'!$B9:$AS21,6,FALSE)</f>
        <v>2</v>
      </c>
      <c r="H14" s="18">
        <f>VLOOKUP($B14,'BaseLine Data'!$B9:$AS21,7,FALSE)</f>
        <v>1960</v>
      </c>
      <c r="I14" s="18" t="str">
        <f>VLOOKUP($B14,'BaseLine Data'!$B9:$AS21,8,FALSE)</f>
        <v>Complete</v>
      </c>
      <c r="J14" s="18" t="str">
        <f>VLOOKUP($B14,'BaseLine Data'!$B9:$AS21,9,FALSE)</f>
        <v>Y</v>
      </c>
      <c r="K14" s="18" t="str">
        <f>VLOOKUP($B14,'BaseLine Data'!$B9:$AS21,10,FALSE)</f>
        <v>take-off from drawings</v>
      </c>
      <c r="L14" s="18" t="str">
        <f>VLOOKUP($B14,'BaseLine Data'!$B9:$AS21,11,FALSE)</f>
        <v>Included</v>
      </c>
      <c r="M14" s="18" t="str">
        <f>VLOOKUP($B14,'BaseLine Data'!$B9:$AS21,12,FALSE)</f>
        <v>Included</v>
      </c>
      <c r="N14" s="18">
        <f>VLOOKUP($B14,'BaseLine Data'!$B9:$AS21,13,FALSE)</f>
        <v>2368</v>
      </c>
      <c r="O14" s="18">
        <f>VLOOKUP($B14,'BaseLine Data'!$B9:$AS21,14,FALSE)</f>
        <v>2368</v>
      </c>
      <c r="P14" s="18">
        <f>VLOOKUP($B14,'BaseLine Data'!$B9:$AS21,15,FALSE)</f>
        <v>3408</v>
      </c>
      <c r="Q14" s="18">
        <f>VLOOKUP($B14,'BaseLine Data'!$B9:$AS21,16,FALSE)</f>
        <v>3740</v>
      </c>
      <c r="R14" s="18">
        <f>VLOOKUP($B14,'BaseLine Data'!$B9:$AS21,17,FALSE)</f>
        <v>22457.599999999999</v>
      </c>
      <c r="S14" s="18">
        <f>VLOOKUP($B14,'BaseLine Data'!$B9:$AS21,18,FALSE)</f>
        <v>24457.599999999999</v>
      </c>
      <c r="T14" s="18">
        <f>VLOOKUP($B14,'BaseLine Data'!$B9:$AS21,19,FALSE)</f>
        <v>1695</v>
      </c>
      <c r="U14" s="18">
        <f>VLOOKUP($B14,'BaseLine Data'!$B9:$AS21,20,FALSE)</f>
        <v>584</v>
      </c>
      <c r="V14" s="30">
        <f t="shared" si="3"/>
        <v>4.5285337703049304</v>
      </c>
      <c r="W14" s="28">
        <f t="shared" si="0"/>
        <v>1.4326835012429675</v>
      </c>
      <c r="X14" s="29">
        <f t="shared" si="1"/>
        <v>0.49735915492957744</v>
      </c>
      <c r="Y14" s="28">
        <f t="shared" si="1"/>
        <v>0.15614973262032086</v>
      </c>
      <c r="Z14" s="31">
        <f t="shared" si="2"/>
        <v>0.71579391891891897</v>
      </c>
      <c r="AA14" s="32">
        <f t="shared" si="2"/>
        <v>0.24662162162162163</v>
      </c>
      <c r="AB14" s="52" t="str">
        <f>VLOOKUP($B14,'BaseLine Data'!$B9:$AS21,31,FALSE)</f>
        <v>Y</v>
      </c>
      <c r="AC14" s="52" t="str">
        <f>VLOOKUP($B14,'BaseLine Data'!$B9:$AS21,32,FALSE)</f>
        <v>N</v>
      </c>
      <c r="AD14">
        <v>0</v>
      </c>
      <c r="AE14" s="47">
        <f>W14</f>
        <v>1.4326835012429675</v>
      </c>
      <c r="AF14">
        <v>0</v>
      </c>
      <c r="AG14" s="47">
        <f t="shared" si="4"/>
        <v>1.4326835012429675</v>
      </c>
      <c r="AH14">
        <v>0</v>
      </c>
    </row>
    <row r="15" spans="1:35">
      <c r="A15" s="17" t="s">
        <v>24</v>
      </c>
      <c r="B15" s="18" t="s">
        <v>37</v>
      </c>
      <c r="C15" s="18">
        <f>VLOOKUP($B15,'BaseLine Data'!$B9:$AS21,2,FALSE)</f>
        <v>1</v>
      </c>
      <c r="D15" s="18" t="str">
        <f>VLOOKUP($B15,'BaseLine Data'!$B9:$AS21,3,FALSE)</f>
        <v>Brookline</v>
      </c>
      <c r="E15" s="18">
        <f>VLOOKUP($B15,'BaseLine Data'!$B9:$AS21,4,FALSE)</f>
        <v>2284</v>
      </c>
      <c r="F15" s="18" t="str">
        <f>VLOOKUP($B15,'BaseLine Data'!$B9:$AS21,5,FALSE)</f>
        <v>Victorian</v>
      </c>
      <c r="G15" s="18">
        <f>VLOOKUP($B15,'BaseLine Data'!$B9:$AS21,6,FALSE)</f>
        <v>3</v>
      </c>
      <c r="H15" s="18">
        <f>VLOOKUP($B15,'BaseLine Data'!$B9:$AS21,7,FALSE)</f>
        <v>1899</v>
      </c>
      <c r="I15" s="18" t="str">
        <f>VLOOKUP($B15,'BaseLine Data'!$B9:$AS21,8,FALSE)</f>
        <v>Complete</v>
      </c>
      <c r="J15" s="18">
        <f>VLOOKUP($B15,'BaseLine Data'!$B9:$AS21,9,FALSE)</f>
        <v>0</v>
      </c>
      <c r="K15" s="18">
        <f>VLOOKUP($B15,'BaseLine Data'!$B9:$AS21,10,FALSE)</f>
        <v>0</v>
      </c>
      <c r="L15" s="18">
        <f>VLOOKUP($B15,'BaseLine Data'!$B9:$AS21,11,FALSE)</f>
        <v>0</v>
      </c>
      <c r="M15" s="18">
        <f>VLOOKUP($B15,'BaseLine Data'!$B9:$AS21,12,FALSE)</f>
        <v>0</v>
      </c>
      <c r="N15" s="18">
        <f>VLOOKUP($B15,'BaseLine Data'!$B9:$AS21,13,FALSE)</f>
        <v>3078</v>
      </c>
      <c r="O15" s="18">
        <f>VLOOKUP($B15,'BaseLine Data'!$B9:$AS21,14,FALSE)</f>
        <v>3174</v>
      </c>
      <c r="P15" s="18">
        <f>VLOOKUP($B15,'BaseLine Data'!$B9:$AS21,15,FALSE)</f>
        <v>5794</v>
      </c>
      <c r="Q15" s="18">
        <f>VLOOKUP($B15,'BaseLine Data'!$B9:$AS21,16,FALSE)</f>
        <v>5924</v>
      </c>
      <c r="R15" s="18">
        <f>VLOOKUP($B15,'BaseLine Data'!$B9:$AS21,17,FALSE)</f>
        <v>26187</v>
      </c>
      <c r="S15" s="18">
        <f>VLOOKUP($B15,'BaseLine Data'!$B9:$AS21,18,FALSE)</f>
        <v>26187</v>
      </c>
      <c r="T15" s="18">
        <f>VLOOKUP($B15,'BaseLine Data'!$B9:$AS21,19,FALSE)</f>
        <v>1640</v>
      </c>
      <c r="U15" s="18">
        <f>VLOOKUP($B15,'BaseLine Data'!$B9:$AS21,20,FALSE)</f>
        <v>655</v>
      </c>
      <c r="V15" s="30">
        <f t="shared" si="3"/>
        <v>3.7575896437163481</v>
      </c>
      <c r="W15" s="28">
        <f t="shared" si="0"/>
        <v>1.5007446442891512</v>
      </c>
      <c r="X15" s="29">
        <f t="shared" si="1"/>
        <v>0.28305143251639625</v>
      </c>
      <c r="Y15" s="28">
        <f t="shared" si="1"/>
        <v>0.11056718433490885</v>
      </c>
      <c r="Z15" s="29">
        <f t="shared" si="2"/>
        <v>0.53281351526965559</v>
      </c>
      <c r="AA15" s="28">
        <f t="shared" si="2"/>
        <v>0.20636420919974796</v>
      </c>
      <c r="AB15" s="52" t="str">
        <f>VLOOKUP($B15,'BaseLine Data'!$B9:$AS21,31,FALSE)</f>
        <v>Y</v>
      </c>
      <c r="AC15" s="52" t="str">
        <f>VLOOKUP($B15,'BaseLine Data'!$B9:$AS21,32,FALSE)</f>
        <v>N</v>
      </c>
      <c r="AD15">
        <v>0</v>
      </c>
      <c r="AE15" s="47">
        <f>W15</f>
        <v>1.5007446442891512</v>
      </c>
      <c r="AF15">
        <v>0</v>
      </c>
      <c r="AG15" s="47">
        <f t="shared" si="4"/>
        <v>1.5007446442891512</v>
      </c>
      <c r="AH15">
        <v>0</v>
      </c>
    </row>
    <row r="16" spans="1:35">
      <c r="A16" s="17" t="s">
        <v>24</v>
      </c>
      <c r="B16" s="18" t="s">
        <v>34</v>
      </c>
      <c r="C16" s="18">
        <f>VLOOKUP($B16,'BaseLine Data'!$B9:$AS21,2,FALSE)</f>
        <v>3</v>
      </c>
      <c r="D16" s="18" t="str">
        <f>VLOOKUP($B16,'BaseLine Data'!$B9:$AS21,3,FALSE)</f>
        <v>Jamaica Plain</v>
      </c>
      <c r="E16" s="18">
        <f>VLOOKUP($B16,'BaseLine Data'!$B9:$AS21,4,FALSE)</f>
        <v>3885</v>
      </c>
      <c r="F16" s="18" t="str">
        <f>VLOOKUP($B16,'BaseLine Data'!$B9:$AS21,5,FALSE)</f>
        <v>3-family</v>
      </c>
      <c r="G16" s="18">
        <f>VLOOKUP($B16,'BaseLine Data'!$B9:$AS21,6,FALSE)</f>
        <v>3</v>
      </c>
      <c r="H16" s="18">
        <f>VLOOKUP($B16,'BaseLine Data'!$B9:$AS21,7,FALSE)</f>
        <v>1907</v>
      </c>
      <c r="I16" s="18" t="str">
        <f>VLOOKUP($B16,'BaseLine Data'!$B9:$AS21,8,FALSE)</f>
        <v>Complete</v>
      </c>
      <c r="J16" s="18">
        <f>VLOOKUP($B16,'BaseLine Data'!$B9:$AS21,9,FALSE)</f>
        <v>0</v>
      </c>
      <c r="K16" s="18">
        <f>VLOOKUP($B16,'BaseLine Data'!$B9:$AS21,10,FALSE)</f>
        <v>0</v>
      </c>
      <c r="L16" s="18">
        <f>VLOOKUP($B16,'BaseLine Data'!$B9:$AS21,11,FALSE)</f>
        <v>0</v>
      </c>
      <c r="M16" s="18">
        <f>VLOOKUP($B16,'BaseLine Data'!$B9:$AS21,12,FALSE)</f>
        <v>0</v>
      </c>
      <c r="N16" s="18">
        <f>VLOOKUP($B16,'BaseLine Data'!$B9:$AS21,13,FALSE)</f>
        <v>3885</v>
      </c>
      <c r="O16" s="18">
        <f>VLOOKUP($B16,'BaseLine Data'!$B9:$AS21,14,FALSE)</f>
        <v>3885</v>
      </c>
      <c r="P16" s="18">
        <f>VLOOKUP($B16,'BaseLine Data'!$B9:$AS21,15,FALSE)</f>
        <v>6308</v>
      </c>
      <c r="Q16" s="18">
        <f>VLOOKUP($B16,'BaseLine Data'!$B9:$AS21,16,FALSE)</f>
        <v>7456</v>
      </c>
      <c r="R16" s="18">
        <f>VLOOKUP($B16,'BaseLine Data'!$B9:$AS21,17,FALSE)</f>
        <v>42586</v>
      </c>
      <c r="S16" s="18">
        <f>VLOOKUP($B16,'BaseLine Data'!$B9:$AS21,18,FALSE)</f>
        <v>42586</v>
      </c>
      <c r="T16" s="18">
        <f>VLOOKUP($B16,'BaseLine Data'!$B9:$AS21,19,FALSE)</f>
        <v>7729</v>
      </c>
      <c r="U16" s="18">
        <f>VLOOKUP($B16,'BaseLine Data'!$B9:$AS21,20,FALSE)</f>
        <v>1802</v>
      </c>
      <c r="V16" s="30">
        <f t="shared" si="3"/>
        <v>10.889494199971821</v>
      </c>
      <c r="W16" s="28">
        <f t="shared" si="0"/>
        <v>2.5388625369839852</v>
      </c>
      <c r="X16" s="29">
        <f t="shared" si="1"/>
        <v>1.2252694990488269</v>
      </c>
      <c r="Y16" s="28">
        <f t="shared" si="1"/>
        <v>0.24168454935622319</v>
      </c>
      <c r="Z16" s="29">
        <f t="shared" si="2"/>
        <v>1.9894465894465894</v>
      </c>
      <c r="AA16" s="28">
        <f t="shared" si="2"/>
        <v>0.46383526383526386</v>
      </c>
      <c r="AB16" s="52" t="str">
        <f>VLOOKUP($B16,'BaseLine Data'!$B9:$AS21,31,FALSE)</f>
        <v>Y</v>
      </c>
      <c r="AC16" s="52" t="str">
        <f>VLOOKUP($B16,'BaseLine Data'!$B9:$AS21,32,FALSE)</f>
        <v>N</v>
      </c>
      <c r="AD16">
        <v>0</v>
      </c>
      <c r="AE16">
        <v>0</v>
      </c>
      <c r="AF16" s="47">
        <f>W16</f>
        <v>2.5388625369839852</v>
      </c>
      <c r="AG16" s="47">
        <f t="shared" si="4"/>
        <v>2.5388625369839852</v>
      </c>
      <c r="AH16" s="47">
        <v>0</v>
      </c>
    </row>
    <row r="17" spans="1:35">
      <c r="A17" s="17" t="s">
        <v>32</v>
      </c>
      <c r="B17" s="18" t="s">
        <v>33</v>
      </c>
      <c r="C17" s="18">
        <f>VLOOKUP($B17,'BaseLine Data'!$B9:$AS21,2,FALSE)</f>
        <v>1</v>
      </c>
      <c r="D17" s="18" t="str">
        <f>VLOOKUP($B17,'BaseLine Data'!$B9:$AS21,3,FALSE)</f>
        <v>Newton</v>
      </c>
      <c r="E17" s="18">
        <f>VLOOKUP($B17,'BaseLine Data'!$B9:$AS21,4,FALSE)</f>
        <v>1724</v>
      </c>
      <c r="F17" s="18" t="str">
        <f>VLOOKUP($B17,'BaseLine Data'!$B9:$AS21,5,FALSE)</f>
        <v>Colonial</v>
      </c>
      <c r="G17" s="18">
        <f>VLOOKUP($B17,'BaseLine Data'!$B9:$AS21,6,FALSE)</f>
        <v>1</v>
      </c>
      <c r="H17" s="18">
        <f>VLOOKUP($B17,'BaseLine Data'!$B9:$AS21,7,FALSE)</f>
        <v>1930</v>
      </c>
      <c r="I17" s="18" t="str">
        <f>VLOOKUP($B17,'BaseLine Data'!$B9:$AS21,8,FALSE)</f>
        <v>Complete</v>
      </c>
      <c r="J17" s="18" t="str">
        <f>VLOOKUP($B17,'BaseLine Data'!$B9:$AS21,9,FALSE)</f>
        <v>Y</v>
      </c>
      <c r="K17" s="18">
        <f>VLOOKUP($B17,'BaseLine Data'!$B9:$AS21,10,FALSE)</f>
        <v>0</v>
      </c>
      <c r="L17" s="18">
        <f>VLOOKUP($B17,'BaseLine Data'!$B9:$AS21,11,FALSE)</f>
        <v>0</v>
      </c>
      <c r="M17" s="18">
        <f>VLOOKUP($B17,'BaseLine Data'!$B9:$AS21,12,FALSE)</f>
        <v>0</v>
      </c>
      <c r="N17" s="18">
        <f>VLOOKUP($B17,'BaseLine Data'!$B9:$AS21,13,FALSE)</f>
        <v>1815</v>
      </c>
      <c r="O17" s="18">
        <f>VLOOKUP($B17,'BaseLine Data'!$B9:$AS21,14,FALSE)</f>
        <v>2199</v>
      </c>
      <c r="P17" s="18">
        <f>VLOOKUP($B17,'BaseLine Data'!$B9:$AS21,15,FALSE)</f>
        <v>3729</v>
      </c>
      <c r="Q17" s="18">
        <f>VLOOKUP($B17,'BaseLine Data'!$B9:$AS21,16,FALSE)</f>
        <v>4337</v>
      </c>
      <c r="R17" s="18">
        <f>VLOOKUP($B17,'BaseLine Data'!$B9:$AS21,17,FALSE)</f>
        <v>18831</v>
      </c>
      <c r="S17" s="18">
        <f>VLOOKUP($B17,'BaseLine Data'!$B9:$AS21,18,FALSE)</f>
        <v>21904</v>
      </c>
      <c r="T17" s="18">
        <f>VLOOKUP($B17,'BaseLine Data'!$B9:$AS21,19,FALSE)</f>
        <v>3199</v>
      </c>
      <c r="U17" s="18">
        <f>VLOOKUP($B17,'BaseLine Data'!$B9:$AS21,20,FALSE)</f>
        <v>1299</v>
      </c>
      <c r="V17" s="30">
        <f t="shared" si="3"/>
        <v>10.192767245499441</v>
      </c>
      <c r="W17" s="28">
        <f t="shared" si="0"/>
        <v>3.558254200146092</v>
      </c>
      <c r="X17" s="29">
        <f t="shared" si="1"/>
        <v>0.857870742826495</v>
      </c>
      <c r="Y17" s="28">
        <f t="shared" si="1"/>
        <v>0.29951579432787639</v>
      </c>
      <c r="Z17" s="29">
        <f t="shared" si="2"/>
        <v>1.7625344352617081</v>
      </c>
      <c r="AA17" s="28">
        <f t="shared" si="2"/>
        <v>0.59072305593451568</v>
      </c>
      <c r="AB17" s="52" t="str">
        <f>VLOOKUP($B17,'BaseLine Data'!$B9:$AS21,31,FALSE)</f>
        <v>Y</v>
      </c>
      <c r="AC17" s="52" t="str">
        <f>VLOOKUP($B17,'BaseLine Data'!$B9:$AS21,32,FALSE)</f>
        <v>N</v>
      </c>
      <c r="AD17">
        <v>0</v>
      </c>
      <c r="AE17">
        <v>0</v>
      </c>
      <c r="AF17">
        <v>0</v>
      </c>
      <c r="AG17" s="47">
        <f t="shared" si="4"/>
        <v>0</v>
      </c>
      <c r="AH17" s="47">
        <f>W17</f>
        <v>3.558254200146092</v>
      </c>
    </row>
    <row r="18" spans="1:35" ht="28">
      <c r="A18" s="17" t="s">
        <v>24</v>
      </c>
      <c r="B18" s="18" t="s">
        <v>31</v>
      </c>
      <c r="C18" s="18">
        <f>VLOOKUP($B18,'BaseLine Data'!$B9:$AS21,2,FALSE)</f>
        <v>2</v>
      </c>
      <c r="D18" s="18" t="str">
        <f>VLOOKUP($B18,'BaseLine Data'!$B9:$AS21,3,FALSE)</f>
        <v>Arlington</v>
      </c>
      <c r="E18" s="18">
        <f>VLOOKUP($B18,'BaseLine Data'!$B9:$AS21,4,FALSE)</f>
        <v>2112</v>
      </c>
      <c r="F18" s="18" t="str">
        <f>VLOOKUP($B18,'BaseLine Data'!$B9:$AS21,5,FALSE)</f>
        <v>2 family</v>
      </c>
      <c r="G18" s="18">
        <f>VLOOKUP($B18,'BaseLine Data'!$B9:$AS21,6,FALSE)</f>
        <v>2</v>
      </c>
      <c r="H18" s="18">
        <f>VLOOKUP($B18,'BaseLine Data'!$B9:$AS21,7,FALSE)</f>
        <v>1910</v>
      </c>
      <c r="I18" s="18" t="str">
        <f>VLOOKUP($B18,'BaseLine Data'!$B9:$AS21,8,FALSE)</f>
        <v>Complete</v>
      </c>
      <c r="J18" s="18">
        <f>VLOOKUP($B18,'BaseLine Data'!$B9:$AS21,9,FALSE)</f>
        <v>0</v>
      </c>
      <c r="K18" s="18" t="str">
        <f>VLOOKUP($B18,'BaseLine Data'!$B9:$AS21,10,FALSE)</f>
        <v>take-off from drawings</v>
      </c>
      <c r="L18" s="18" t="str">
        <f>VLOOKUP($B18,'BaseLine Data'!$B9:$AS21,11,FALSE)</f>
        <v>Excluded</v>
      </c>
      <c r="M18" s="18" t="str">
        <f>VLOOKUP($B18,'BaseLine Data'!$B9:$AS21,12,FALSE)</f>
        <v>Excluded</v>
      </c>
      <c r="N18" s="18">
        <f>VLOOKUP($B18,'BaseLine Data'!$B9:$AS21,13,FALSE)</f>
        <v>2502</v>
      </c>
      <c r="O18" s="18">
        <f>VLOOKUP($B18,'BaseLine Data'!$B9:$AS21,14,FALSE)</f>
        <v>3627</v>
      </c>
      <c r="P18" s="18">
        <f>VLOOKUP($B18,'BaseLine Data'!$B9:$AS21,15,FALSE)</f>
        <v>5153</v>
      </c>
      <c r="Q18" s="18">
        <f>VLOOKUP($B18,'BaseLine Data'!$B9:$AS21,16,FALSE)</f>
        <v>5925</v>
      </c>
      <c r="R18" s="18">
        <f>VLOOKUP($B18,'BaseLine Data'!$B9:$AS21,17,FALSE)</f>
        <v>20157</v>
      </c>
      <c r="S18" s="18">
        <f>VLOOKUP($B18,'BaseLine Data'!$B9:$AS21,18,FALSE)</f>
        <v>29648</v>
      </c>
      <c r="T18" s="18">
        <f>VLOOKUP($B18,'BaseLine Data'!$B9:$AS21,19,FALSE)</f>
        <v>8730</v>
      </c>
      <c r="U18" s="18">
        <f>VLOOKUP($B18,'BaseLine Data'!$B9:$AS21,20,FALSE)</f>
        <v>3586</v>
      </c>
      <c r="V18" s="30">
        <f t="shared" si="3"/>
        <v>25.986009822890313</v>
      </c>
      <c r="W18" s="28">
        <f t="shared" si="0"/>
        <v>7.2571505666486775</v>
      </c>
      <c r="X18" s="29">
        <f t="shared" si="1"/>
        <v>1.6941587424801088</v>
      </c>
      <c r="Y18" s="28">
        <f t="shared" si="1"/>
        <v>0.60523206751054848</v>
      </c>
      <c r="Z18" s="29">
        <f t="shared" si="2"/>
        <v>3.4892086330935252</v>
      </c>
      <c r="AA18" s="28">
        <f t="shared" si="2"/>
        <v>0.98869589192169838</v>
      </c>
      <c r="AB18" s="52" t="str">
        <f>VLOOKUP($B18,'BaseLine Data'!$B9:$AS21,31,FALSE)</f>
        <v>Y</v>
      </c>
      <c r="AC18" s="52" t="str">
        <f>VLOOKUP($B18,'BaseLine Data'!$B9:$AS21,32,FALSE)</f>
        <v>N</v>
      </c>
      <c r="AD18">
        <v>0</v>
      </c>
      <c r="AE18" s="47">
        <f>W18</f>
        <v>7.2571505666486775</v>
      </c>
      <c r="AF18">
        <v>0</v>
      </c>
      <c r="AG18" s="47">
        <f t="shared" si="4"/>
        <v>7.2571505666486775</v>
      </c>
      <c r="AH18">
        <v>0</v>
      </c>
    </row>
    <row r="19" spans="1:35">
      <c r="A19" s="17" t="s">
        <v>24</v>
      </c>
      <c r="B19" s="18" t="s">
        <v>40</v>
      </c>
      <c r="C19" s="18">
        <f>VLOOKUP($B19,'BaseLine Data'!$B9:$AS21,2,FALSE)</f>
        <v>1</v>
      </c>
      <c r="D19" s="18" t="str">
        <f>VLOOKUP($B19,'BaseLine Data'!$B9:$AS21,3,FALSE)</f>
        <v>Gloucester</v>
      </c>
      <c r="E19" s="18">
        <f>VLOOKUP($B19,'BaseLine Data'!$B9:$AS21,4,FALSE)</f>
        <v>2171</v>
      </c>
      <c r="F19" s="18" t="str">
        <f>VLOOKUP($B19,'BaseLine Data'!$B9:$AS21,5,FALSE)</f>
        <v>Single family</v>
      </c>
      <c r="G19" s="18">
        <f>VLOOKUP($B19,'BaseLine Data'!$B9:$AS21,6,FALSE)</f>
        <v>2</v>
      </c>
      <c r="H19" s="18">
        <f>VLOOKUP($B19,'BaseLine Data'!$B9:$AS21,7,FALSE)</f>
        <v>1920</v>
      </c>
      <c r="I19" s="18" t="str">
        <f>VLOOKUP($B19,'BaseLine Data'!$B9:$AS21,8,FALSE)</f>
        <v>Complete</v>
      </c>
      <c r="J19" s="18">
        <f>VLOOKUP($B19,'BaseLine Data'!$B9:$AS21,9,FALSE)</f>
        <v>0</v>
      </c>
      <c r="K19" s="18" t="str">
        <f>VLOOKUP($B19,'BaseLine Data'!$B9:$AS21,10,FALSE)</f>
        <v>application</v>
      </c>
      <c r="L19" s="18">
        <f>VLOOKUP($B19,'BaseLine Data'!$B9:$AS21,11,FALSE)</f>
        <v>0</v>
      </c>
      <c r="M19" s="18">
        <f>VLOOKUP($B19,'BaseLine Data'!$B9:$AS21,12,FALSE)</f>
        <v>0</v>
      </c>
      <c r="N19" s="18">
        <f>VLOOKUP($B19,'BaseLine Data'!$B9:$AS21,13,FALSE)</f>
        <v>2171</v>
      </c>
      <c r="O19" s="18">
        <f>VLOOKUP($B19,'BaseLine Data'!$B9:$AS21,14,FALSE)</f>
        <v>2424</v>
      </c>
      <c r="P19" s="18">
        <f>VLOOKUP($B19,'BaseLine Data'!$B9:$AS21,15,FALSE)</f>
        <v>5325</v>
      </c>
      <c r="Q19" s="18">
        <f>VLOOKUP($B19,'BaseLine Data'!$B9:$AS21,16,FALSE)</f>
        <v>6493</v>
      </c>
      <c r="R19" s="18">
        <f>VLOOKUP($B19,'BaseLine Data'!$B9:$AS21,17,FALSE)</f>
        <v>0</v>
      </c>
      <c r="S19" s="18">
        <f>VLOOKUP($B19,'BaseLine Data'!$B9:$AS21,18,FALSE)</f>
        <v>23285</v>
      </c>
      <c r="T19" s="18">
        <f>VLOOKUP($B19,'BaseLine Data'!$B9:$AS21,19,FALSE)</f>
        <v>2258</v>
      </c>
      <c r="U19" s="18">
        <f>VLOOKUP($B19,'BaseLine Data'!$B9:$AS21,20,FALSE)</f>
        <v>235</v>
      </c>
      <c r="V19" s="30" t="e">
        <f t="shared" si="3"/>
        <v>#DIV/0!</v>
      </c>
      <c r="W19" s="28">
        <f t="shared" si="0"/>
        <v>0.60554004724071286</v>
      </c>
      <c r="X19" s="29">
        <f t="shared" si="1"/>
        <v>0.42403755868544601</v>
      </c>
      <c r="Y19" s="34">
        <f t="shared" si="1"/>
        <v>3.6192823040197136E-2</v>
      </c>
      <c r="Z19" s="29">
        <f t="shared" si="2"/>
        <v>1.0400736987563335</v>
      </c>
      <c r="AA19" s="28">
        <f t="shared" si="2"/>
        <v>9.6947194719471941E-2</v>
      </c>
      <c r="AB19" s="52" t="str">
        <f>VLOOKUP($B19,'BaseLine Data'!$B9:$AS21,31,FALSE)</f>
        <v>N</v>
      </c>
      <c r="AC19" s="52" t="str">
        <f>VLOOKUP($B19,'BaseLine Data'!$B9:$AS21,32,FALSE)</f>
        <v>N</v>
      </c>
      <c r="AD19">
        <v>0</v>
      </c>
      <c r="AE19">
        <v>0</v>
      </c>
      <c r="AF19">
        <v>0</v>
      </c>
      <c r="AG19" s="47">
        <f t="shared" si="4"/>
        <v>0</v>
      </c>
      <c r="AI19" s="47">
        <f>Y18</f>
        <v>0.60523206751054848</v>
      </c>
    </row>
    <row r="20" spans="1:35" ht="28">
      <c r="A20" s="17" t="s">
        <v>24</v>
      </c>
      <c r="B20" s="18" t="s">
        <v>27</v>
      </c>
      <c r="C20" s="18">
        <f>VLOOKUP($B20,'BaseLine Data'!$B9:$AS21,2,FALSE)</f>
        <v>2</v>
      </c>
      <c r="D20" s="18" t="str">
        <f>VLOOKUP($B20,'BaseLine Data'!$B9:$AS21,3,FALSE)</f>
        <v>Belmont</v>
      </c>
      <c r="E20" s="18">
        <f>VLOOKUP($B20,'BaseLine Data'!$B9:$AS21,4,FALSE)</f>
        <v>2728</v>
      </c>
      <c r="F20" s="18" t="str">
        <f>VLOOKUP($B20,'BaseLine Data'!$B9:$AS21,5,FALSE)</f>
        <v>2 family</v>
      </c>
      <c r="G20" s="18">
        <f>VLOOKUP($B20,'BaseLine Data'!$B9:$AS21,6,FALSE)</f>
        <v>3</v>
      </c>
      <c r="H20" s="18">
        <f>VLOOKUP($B20,'BaseLine Data'!$B9:$AS21,7,FALSE)</f>
        <v>1925</v>
      </c>
      <c r="I20" s="18" t="str">
        <f>VLOOKUP($B20,'BaseLine Data'!$B9:$AS21,8,FALSE)</f>
        <v>Complete</v>
      </c>
      <c r="J20" s="18" t="str">
        <f>VLOOKUP($B20,'BaseLine Data'!$B9:$AS21,9,FALSE)</f>
        <v>Y</v>
      </c>
      <c r="K20" s="18">
        <f>VLOOKUP($B20,'BaseLine Data'!$B9:$AS21,10,FALSE)</f>
        <v>0</v>
      </c>
      <c r="L20" s="18" t="str">
        <f>VLOOKUP($B20,'BaseLine Data'!$B9:$AS21,11,FALSE)</f>
        <v>Excluded</v>
      </c>
      <c r="M20" s="18" t="str">
        <f>VLOOKUP($B20,'BaseLine Data'!$B9:$AS21,12,FALSE)</f>
        <v>Included</v>
      </c>
      <c r="N20" s="18">
        <f>VLOOKUP($B20,'BaseLine Data'!$B9:$AS21,13,FALSE)</f>
        <v>3417</v>
      </c>
      <c r="O20" s="18">
        <f>VLOOKUP($B20,'BaseLine Data'!$B9:$AS21,14,FALSE)</f>
        <v>4768</v>
      </c>
      <c r="P20" s="18">
        <f>VLOOKUP($B20,'BaseLine Data'!$B9:$AS21,15,FALSE)</f>
        <v>7468</v>
      </c>
      <c r="Q20" s="18">
        <f>VLOOKUP($B20,'BaseLine Data'!$B9:$AS21,16,FALSE)</f>
        <v>9093</v>
      </c>
      <c r="R20" s="18">
        <f>VLOOKUP($B20,'BaseLine Data'!$B9:$AS21,17,FALSE)</f>
        <v>36898</v>
      </c>
      <c r="S20" s="18">
        <f>VLOOKUP($B20,'BaseLine Data'!$B9:$AS21,18,FALSE)</f>
        <v>47706</v>
      </c>
      <c r="T20" s="18">
        <f>VLOOKUP($B20,'BaseLine Data'!$B9:$AS21,19,FALSE)</f>
        <v>5700</v>
      </c>
      <c r="U20" s="18">
        <f>VLOOKUP($B20,'BaseLine Data'!$B9:$AS21,20,FALSE)</f>
        <v>590</v>
      </c>
      <c r="V20" s="30">
        <f t="shared" si="3"/>
        <v>9.2687950566426363</v>
      </c>
      <c r="W20" s="28">
        <f t="shared" si="0"/>
        <v>0.74204502578292031</v>
      </c>
      <c r="X20" s="38">
        <f t="shared" si="1"/>
        <v>0.76325656132833419</v>
      </c>
      <c r="Y20" s="40">
        <f t="shared" si="1"/>
        <v>6.4885076432420544E-2</v>
      </c>
      <c r="Z20" s="38">
        <f t="shared" si="2"/>
        <v>1.6681299385425812</v>
      </c>
      <c r="AA20" s="40">
        <f t="shared" si="2"/>
        <v>0.12374161073825503</v>
      </c>
      <c r="AB20" s="52" t="str">
        <f>VLOOKUP($B20,'BaseLine Data'!$B9:$AS21,31,FALSE)</f>
        <v>N</v>
      </c>
      <c r="AC20" s="52" t="str">
        <f>VLOOKUP($B20,'BaseLine Data'!$B9:$AS21,32,FALSE)</f>
        <v>N</v>
      </c>
      <c r="AD20">
        <v>0</v>
      </c>
      <c r="AE20">
        <v>0</v>
      </c>
      <c r="AF20">
        <v>0</v>
      </c>
      <c r="AG20" s="47">
        <f t="shared" si="4"/>
        <v>0</v>
      </c>
      <c r="AI20" s="47">
        <f>W20</f>
        <v>0.74204502578292031</v>
      </c>
    </row>
    <row r="21" spans="1:35">
      <c r="A21" s="17" t="s">
        <v>24</v>
      </c>
      <c r="B21" s="18" t="s">
        <v>35</v>
      </c>
      <c r="C21" s="18">
        <f>VLOOKUP($B21,'BaseLine Data'!$B9:$AS21,2,FALSE)</f>
        <v>1</v>
      </c>
      <c r="D21" s="18" t="str">
        <f>VLOOKUP($B21,'BaseLine Data'!$B9:$AS21,3,FALSE)</f>
        <v>Northampton</v>
      </c>
      <c r="E21" s="18">
        <f>VLOOKUP($B21,'BaseLine Data'!$B9:$AS21,4,FALSE)</f>
        <v>2032</v>
      </c>
      <c r="F21" s="18" t="str">
        <f>VLOOKUP($B21,'BaseLine Data'!$B9:$AS21,5,FALSE)</f>
        <v>Victorian</v>
      </c>
      <c r="G21" s="18">
        <f>VLOOKUP($B21,'BaseLine Data'!$B9:$AS21,6,FALSE)</f>
        <v>1</v>
      </c>
      <c r="H21" s="18">
        <f>VLOOKUP($B21,'BaseLine Data'!$B9:$AS21,7,FALSE)</f>
        <v>1859</v>
      </c>
      <c r="I21" s="18" t="str">
        <f>VLOOKUP($B21,'BaseLine Data'!$B9:$AS21,8,FALSE)</f>
        <v>Complete</v>
      </c>
      <c r="J21" s="18">
        <f>VLOOKUP($B21,'BaseLine Data'!$B9:$AS21,9,FALSE)</f>
        <v>0</v>
      </c>
      <c r="K21" s="18">
        <f>VLOOKUP($B21,'BaseLine Data'!$B9:$AS21,10,FALSE)</f>
        <v>0</v>
      </c>
      <c r="L21" s="18">
        <f>VLOOKUP($B21,'BaseLine Data'!$B9:$AS21,11,FALSE)</f>
        <v>0</v>
      </c>
      <c r="M21" s="18" t="str">
        <f>VLOOKUP($B21,'BaseLine Data'!$B9:$AS21,12,FALSE)</f>
        <v>Included</v>
      </c>
      <c r="N21" s="18">
        <f>VLOOKUP($B21,'BaseLine Data'!$B9:$AS21,13,FALSE)</f>
        <v>2032</v>
      </c>
      <c r="O21" s="18">
        <f>VLOOKUP($B21,'BaseLine Data'!$B9:$AS21,14,FALSE)</f>
        <v>2747</v>
      </c>
      <c r="P21" s="18">
        <f>VLOOKUP($B21,'BaseLine Data'!$B9:$AS21,15,FALSE)</f>
        <v>6711</v>
      </c>
      <c r="Q21" s="18">
        <f>VLOOKUP($B21,'BaseLine Data'!$B9:$AS21,16,FALSE)</f>
        <v>7798</v>
      </c>
      <c r="R21" s="18">
        <f>VLOOKUP($B21,'BaseLine Data'!$B9:$AS21,17,FALSE)</f>
        <v>0</v>
      </c>
      <c r="S21" s="18">
        <f>VLOOKUP($B21,'BaseLine Data'!$B9:$AS21,18,FALSE)</f>
        <v>34624</v>
      </c>
      <c r="T21" s="18">
        <f>VLOOKUP($B21,'BaseLine Data'!$B9:$AS21,19,FALSE)</f>
        <v>6155</v>
      </c>
      <c r="U21" s="18">
        <f>VLOOKUP($B21,'BaseLine Data'!$B9:$AS21,20,FALSE)</f>
        <v>473</v>
      </c>
      <c r="V21" s="30"/>
      <c r="W21" s="28">
        <f t="shared" si="0"/>
        <v>0.81966266173752311</v>
      </c>
      <c r="X21" s="29">
        <f t="shared" si="1"/>
        <v>0.91715094620771864</v>
      </c>
      <c r="Y21" s="28">
        <f t="shared" si="1"/>
        <v>6.0656578609899973E-2</v>
      </c>
      <c r="Z21" s="29">
        <f t="shared" si="2"/>
        <v>3.0290354330708662</v>
      </c>
      <c r="AA21" s="28">
        <f t="shared" si="2"/>
        <v>0.17218784128139789</v>
      </c>
      <c r="AB21" s="52" t="str">
        <f>VLOOKUP($B21,'BaseLine Data'!$B9:$AS21,31,FALSE)</f>
        <v>N</v>
      </c>
      <c r="AC21" s="52" t="str">
        <f>VLOOKUP($B21,'BaseLine Data'!$B9:$AS21,32,FALSE)</f>
        <v>N</v>
      </c>
      <c r="AD21">
        <v>0</v>
      </c>
      <c r="AE21">
        <v>0</v>
      </c>
      <c r="AF21">
        <v>0</v>
      </c>
      <c r="AG21" s="47">
        <f t="shared" si="4"/>
        <v>0</v>
      </c>
      <c r="AI21" s="47">
        <f>W21</f>
        <v>0.81966266173752311</v>
      </c>
    </row>
    <row r="23" spans="1:35">
      <c r="B23" s="51"/>
      <c r="O23" s="50"/>
      <c r="S23" t="s">
        <v>61</v>
      </c>
      <c r="U23" s="47"/>
      <c r="V23" s="45"/>
      <c r="W23" s="47">
        <f>AVERAGE(W9:W11)</f>
        <v>1.5195027659117686</v>
      </c>
      <c r="X23" s="45"/>
      <c r="Y23" s="47"/>
      <c r="AA23" s="45"/>
      <c r="AC23" t="s">
        <v>46</v>
      </c>
    </row>
    <row r="24" spans="1:35">
      <c r="B24" s="51"/>
      <c r="S24" t="s">
        <v>74</v>
      </c>
      <c r="U24" s="47"/>
      <c r="V24" s="47"/>
      <c r="W24" s="47">
        <f>MEDIAN(W9:W11)</f>
        <v>1.4250972762645915</v>
      </c>
      <c r="X24" s="47"/>
      <c r="Y24" s="47"/>
    </row>
    <row r="25" spans="1:35">
      <c r="B25" s="51"/>
      <c r="S25" t="s">
        <v>62</v>
      </c>
      <c r="U25" s="47"/>
      <c r="V25" s="45"/>
      <c r="W25" s="47">
        <f>AVERAGE(W12:W18)</f>
        <v>2.7087366307835521</v>
      </c>
      <c r="X25" s="45"/>
      <c r="Y25" s="47"/>
    </row>
    <row r="26" spans="1:35">
      <c r="B26" s="51"/>
      <c r="S26" t="s">
        <v>74</v>
      </c>
      <c r="U26" s="47"/>
      <c r="V26" s="47"/>
      <c r="W26" s="47">
        <f>MEDIAN(W12:W18)</f>
        <v>1.5007446442891512</v>
      </c>
      <c r="X26" s="47"/>
      <c r="Y26" s="47"/>
    </row>
    <row r="27" spans="1:35">
      <c r="S27" t="s">
        <v>63</v>
      </c>
      <c r="W27" s="47">
        <f>AVERAGE(W12:W17)</f>
        <v>1.9506676414726976</v>
      </c>
    </row>
    <row r="28" spans="1:35">
      <c r="S28" t="s">
        <v>99</v>
      </c>
      <c r="W28" s="47">
        <f>MEDIAN(W12:W17)</f>
        <v>1.4667140727660595</v>
      </c>
    </row>
    <row r="29" spans="1:35">
      <c r="S29" t="s">
        <v>64</v>
      </c>
      <c r="W29" s="47">
        <f>AVERAGE(W19:W21)</f>
        <v>0.72241591158705221</v>
      </c>
    </row>
    <row r="30" spans="1:35">
      <c r="S30" t="s">
        <v>74</v>
      </c>
      <c r="W30" s="47">
        <f>MEDIAN(W19:W21)</f>
        <v>0.74204502578292031</v>
      </c>
    </row>
  </sheetData>
  <pageMargins left="0.7" right="0.7" top="0.75" bottom="0.75" header="0.3" footer="0.3"/>
  <pageSetup orientation="portrait"/>
  <drawing r:id="rId1"/>
  <extLst>
    <ext xmlns:x14="http://schemas.microsoft.com/office/spreadsheetml/2009/9/main" uri="{CCE6A557-97BC-4b89-ADB6-D9C93CAAB3DF}">
      <x14:dataValidations xmlns:xm="http://schemas.microsoft.com/office/excel/2006/main" disablePrompts="1" count="2">
        <x14:dataValidation type="list" allowBlank="1" showInputMessage="1" showErrorMessage="1">
          <x14:formula1>
            <xm:f>'[1]Project Statistics'!#REF!</xm:f>
          </x14:formula1>
          <xm:sqref>WVN9:WVN21 WLR9:WLR21 WBV9:WBV21 VRZ9:VRZ21 VID9:VID21 UYH9:UYH21 UOL9:UOL21 UEP9:UEP21 TUT9:TUT21 TKX9:TKX21 TBB9:TBB21 SRF9:SRF21 SHJ9:SHJ21 RXN9:RXN21 RNR9:RNR21 RDV9:RDV21 QTZ9:QTZ21 QKD9:QKD21 QAH9:QAH21 PQL9:PQL21 PGP9:PGP21 OWT9:OWT21 OMX9:OMX21 ODB9:ODB21 NTF9:NTF21 NJJ9:NJJ21 MZN9:MZN21 MPR9:MPR21 MFV9:MFV21 LVZ9:LVZ21 LMD9:LMD21 LCH9:LCH21 KSL9:KSL21 KIP9:KIP21 JYT9:JYT21 JOX9:JOX21 JFB9:JFB21 IVF9:IVF21 ILJ9:ILJ21 IBN9:IBN21 HRR9:HRR21 HHV9:HHV21 GXZ9:GXZ21 GOD9:GOD21 GEH9:GEH21 FUL9:FUL21 FKP9:FKP21 FAT9:FAT21 EQX9:EQX21 EHB9:EHB21 DXF9:DXF21 DNJ9:DNJ21 DDN9:DDN21 CTR9:CTR21 CJV9:CJV21 BZZ9:BZZ21 BQD9:BQD21 BGH9:BGH21 AWL9:AWL21 AMP9:AMP21 ACT9:ACT21 SX9:SX21 JB9:JB21</xm:sqref>
        </x14:dataValidation>
        <x14:dataValidation type="list" allowBlank="1" showInputMessage="1" showErrorMessage="1">
          <x14:formula1>
            <xm:f>'[1]Project Statistics'!#REF!</xm:f>
          </x14:formula1>
          <xm:sqref>WVO9:WVP21 WLS9:WLT21 WBW9:WBX21 VSA9:VSB21 VIE9:VIF21 UYI9:UYJ21 UOM9:UON21 UEQ9:UER21 TUU9:TUV21 TKY9:TKZ21 TBC9:TBD21 SRG9:SRH21 SHK9:SHL21 RXO9:RXP21 RNS9:RNT21 RDW9:RDX21 QUA9:QUB21 QKE9:QKF21 QAI9:QAJ21 PQM9:PQN21 PGQ9:PGR21 OWU9:OWV21 OMY9:OMZ21 ODC9:ODD21 NTG9:NTH21 NJK9:NJL21 MZO9:MZP21 MPS9:MPT21 MFW9:MFX21 LWA9:LWB21 LME9:LMF21 LCI9:LCJ21 KSM9:KSN21 KIQ9:KIR21 JYU9:JYV21 JOY9:JOZ21 JFC9:JFD21 IVG9:IVH21 ILK9:ILL21 IBO9:IBP21 HRS9:HRT21 HHW9:HHX21 GYA9:GYB21 GOE9:GOF21 GEI9:GEJ21 FUM9:FUN21 FKQ9:FKR21 FAU9:FAV21 EQY9:EQZ21 EHC9:EHD21 DXG9:DXH21 DNK9:DNL21 DDO9:DDP21 CTS9:CTT21 CJW9:CJX21 CAA9:CAB21 BQE9:BQF21 BGI9:BGJ21 AWM9:AWN21 AMQ9:AMR21 ACU9:ACV21 SY9:SZ21 JC9:JD21</xm:sqref>
        </x14:dataValidation>
      </x14:dataValidations>
    </ex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7:AH28"/>
  <sheetViews>
    <sheetView topLeftCell="B20" workbookViewId="0">
      <pane xSplit="1" topLeftCell="N1" activePane="topRight" state="frozen"/>
      <selection activeCell="B1" sqref="B1"/>
      <selection pane="topRight" activeCell="W36" sqref="W36"/>
    </sheetView>
  </sheetViews>
  <sheetFormatPr baseColWidth="10" defaultColWidth="8.83203125" defaultRowHeight="14" x14ac:dyDescent="0"/>
  <cols>
    <col min="2" max="2" width="11.6640625" customWidth="1"/>
    <col min="3" max="3" width="8.6640625" customWidth="1"/>
    <col min="4" max="4" width="12.6640625" customWidth="1"/>
    <col min="6" max="6" width="11.5" customWidth="1"/>
    <col min="9" max="9" width="12.5" customWidth="1"/>
    <col min="11" max="11" width="12.5" customWidth="1"/>
    <col min="22" max="22" width="11.5" bestFit="1" customWidth="1"/>
  </cols>
  <sheetData>
    <row r="7" spans="1:34" ht="71" thickBot="1">
      <c r="B7" s="1" t="s">
        <v>0</v>
      </c>
      <c r="C7" s="18" t="str">
        <f>VLOOKUP($B7,'BaseLine Data'!$B7:$AS21,2,FALSE)</f>
        <v>Number of Housing Units</v>
      </c>
      <c r="D7" s="18" t="str">
        <f>VLOOKUP($B7,'BaseLine Data'!$B7:$AS21,3,FALSE)</f>
        <v>Location</v>
      </c>
      <c r="E7" s="18" t="str">
        <f>VLOOKUP($B7,'BaseLine Data'!$B7:$AS21,4,FALSE)</f>
        <v>Pre-DER Cond. Floor Area_x000D_(sq.ft.)</v>
      </c>
      <c r="F7" s="18" t="str">
        <f>VLOOKUP($B7,'BaseLine Data'!$B7:$AS21,5,FALSE)</f>
        <v>Building Type</v>
      </c>
      <c r="G7" s="18" t="str">
        <f>VLOOKUP($B7,'BaseLine Data'!$B7:$AS21,6,FALSE)</f>
        <v>Stories</v>
      </c>
      <c r="H7" s="18" t="str">
        <f>VLOOKUP($B7,'BaseLine Data'!$B7:$AS21,7,FALSE)</f>
        <v>Approx. Year Built</v>
      </c>
      <c r="I7" s="18" t="str">
        <f>VLOOKUP($B7,'BaseLine Data'!$B7:$AS21,8,FALSE)</f>
        <v>Status</v>
      </c>
      <c r="J7" s="18" t="str">
        <f>VLOOKUP($B7,'BaseLine Data'!$B7:$AS21,9,FALSE)</f>
        <v>Double checked numbers? (Y/N)</v>
      </c>
      <c r="K7" s="18" t="str">
        <f>VLOOKUP($B7,'BaseLine Data'!$B7:$AS21,10,FALSE)</f>
        <v>Source for Geometry Data</v>
      </c>
      <c r="L7" s="18" t="str">
        <f>VLOOKUP($B7,'BaseLine Data'!$B7:$AS21,11,FALSE)</f>
        <v>Pre-Retrofit Basement</v>
      </c>
      <c r="M7" s="18" t="str">
        <f>VLOOKUP($B7,'BaseLine Data'!$B7:$AS21,12,FALSE)</f>
        <v>Post Retrofit Basement</v>
      </c>
      <c r="N7" s="18" t="str">
        <f>VLOOKUP($B7,'BaseLine Data'!$B7:$AS21,13,FALSE)</f>
        <v>Pre-DER Cond. Floor Area_x000D_(sq.ft.)</v>
      </c>
      <c r="O7" s="18" t="str">
        <f>VLOOKUP($B7,'BaseLine Data'!$B7:$AS21,14,FALSE)</f>
        <v>Post-DER Con. Floor Area        (sq.ft.)</v>
      </c>
      <c r="P7" s="18" t="str">
        <f>VLOOKUP($B7,'BaseLine Data'!$B7:$AS21,15,FALSE)</f>
        <v>Pre-DER Enclosure Area (sf)</v>
      </c>
      <c r="Q7" s="18" t="str">
        <f>VLOOKUP($B7,'BaseLine Data'!$B7:$AS21,16,FALSE)</f>
        <v>Post-DER Enclosure Area (sf)</v>
      </c>
      <c r="R7" s="18" t="str">
        <f>VLOOKUP($B7,'BaseLine Data'!$B7:$AS21,17,FALSE)</f>
        <v>Pre-DER Volume (ft3)</v>
      </c>
      <c r="S7" s="18" t="str">
        <f>VLOOKUP($B7,'BaseLine Data'!$B7:$AS21,18,FALSE)</f>
        <v>Post-DER Volume (ft3)</v>
      </c>
      <c r="T7" s="18" t="str">
        <f>VLOOKUP($B7,'BaseLine Data'!$B7:$AS21,19,FALSE)</f>
        <v>Pre-DER   CFM 50</v>
      </c>
      <c r="U7" s="18" t="str">
        <f>VLOOKUP($B7,'BaseLine Data'!$B7:$AS21,20,FALSE)</f>
        <v>Post-DER CFM 50</v>
      </c>
      <c r="V7" s="18" t="str">
        <f>VLOOKUP($B7,'BaseLine Data'!$B7:$AS21,21,FALSE)</f>
        <v xml:space="preserve">Pre-DER   ACH 50 </v>
      </c>
      <c r="W7" s="18" t="str">
        <f>VLOOKUP($B7,'BaseLine Data'!$B7:$AS21,22,FALSE)</f>
        <v xml:space="preserve">Post-DER ACH 50 </v>
      </c>
      <c r="X7" s="18" t="str">
        <f>VLOOKUP($B7,'BaseLine Data'!$B7:$AS21,23,FALSE)</f>
        <v>Pre-DER   CFM 50 per Sq.Ft. of Enclosure</v>
      </c>
      <c r="Y7" s="18" t="str">
        <f>VLOOKUP($B7,'BaseLine Data'!$B7:$AS21,24,FALSE)</f>
        <v>Post-DER CFM 50 per Sq. Ft. of Enclosure</v>
      </c>
      <c r="Z7" s="18" t="str">
        <f>VLOOKUP($B7,'BaseLine Data'!$B7:$AS21,25,FALSE)</f>
        <v>Pre-DER CFM/sf Conditioned floor area</v>
      </c>
      <c r="AA7" s="18" t="str">
        <f>VLOOKUP($B7,'BaseLine Data'!$B7:$AS21,26,FALSE)</f>
        <v>Post-DER CFM/sf Conditioned floor area</v>
      </c>
      <c r="AB7" s="52" t="str">
        <f>VLOOKUP($B7,'BaseLine Data'!$B7:$AS21,31,FALSE)</f>
        <v>Spray Foam in Roof/Attic: Y/N</v>
      </c>
      <c r="AC7" s="52" t="str">
        <f>VLOOKUP($B7,'BaseLine Data'!$B7:$AS21,32,FALSE)</f>
        <v>Spray Foam in Walls: Y/N</v>
      </c>
      <c r="AD7" s="52" t="str">
        <f>VLOOKUP($B7,'BaseLine Data'!$B7:$AS21,33,FALSE)</f>
        <v>Spray foam is air barrier in R or W</v>
      </c>
      <c r="AE7" s="54" t="s">
        <v>91</v>
      </c>
      <c r="AF7" s="54" t="s">
        <v>96</v>
      </c>
      <c r="AG7" s="54" t="s">
        <v>97</v>
      </c>
      <c r="AH7" s="54" t="s">
        <v>89</v>
      </c>
    </row>
    <row r="8" spans="1:34" ht="52">
      <c r="A8" s="9"/>
      <c r="B8" s="10" t="s">
        <v>23</v>
      </c>
      <c r="C8" s="11"/>
      <c r="D8" s="11"/>
      <c r="E8" s="11"/>
      <c r="F8" s="11"/>
      <c r="G8" s="11"/>
      <c r="H8" s="11"/>
      <c r="I8" s="11"/>
      <c r="J8" s="11"/>
      <c r="K8" s="11"/>
      <c r="L8" s="11"/>
      <c r="M8" s="11"/>
      <c r="N8" s="12"/>
      <c r="O8" s="13"/>
      <c r="P8" s="12"/>
      <c r="Q8" s="13"/>
      <c r="R8" s="12"/>
      <c r="S8" s="14"/>
      <c r="T8" s="15"/>
      <c r="U8" s="15"/>
      <c r="V8" s="16"/>
      <c r="W8" s="14"/>
      <c r="X8" s="15"/>
      <c r="Y8" s="14"/>
      <c r="Z8" s="15"/>
      <c r="AA8" s="14"/>
      <c r="AB8" s="53"/>
      <c r="AC8" s="53"/>
    </row>
    <row r="9" spans="1:34">
      <c r="A9" s="17" t="s">
        <v>24</v>
      </c>
      <c r="B9" s="18" t="s">
        <v>38</v>
      </c>
      <c r="C9" s="18">
        <f>VLOOKUP($B9,'BaseLine Data'!$B9:$AS21,2,FALSE)</f>
        <v>1</v>
      </c>
      <c r="D9" s="18" t="str">
        <f>VLOOKUP($B9,'BaseLine Data'!$B9:$AS21,3,FALSE)</f>
        <v>Westford</v>
      </c>
      <c r="E9" s="18">
        <f>VLOOKUP($B9,'BaseLine Data'!$B9:$AS21,4,FALSE)</f>
        <v>2906</v>
      </c>
      <c r="F9" s="18" t="str">
        <f>VLOOKUP($B9,'BaseLine Data'!$B9:$AS21,5,FALSE)</f>
        <v>Colonial</v>
      </c>
      <c r="G9" s="18">
        <f>VLOOKUP($B9,'BaseLine Data'!$B9:$AS21,6,FALSE)</f>
        <v>2</v>
      </c>
      <c r="H9" s="18">
        <f>VLOOKUP($B9,'BaseLine Data'!$B9:$AS21,7,FALSE)</f>
        <v>1993</v>
      </c>
      <c r="I9" s="18" t="str">
        <f>VLOOKUP($B9,'BaseLine Data'!$B9:$AS21,8,FALSE)</f>
        <v>Complete</v>
      </c>
      <c r="J9" s="18">
        <f>VLOOKUP($B9,'BaseLine Data'!$B9:$AS21,9,FALSE)</f>
        <v>0</v>
      </c>
      <c r="K9" s="18" t="str">
        <f>VLOOKUP($B9,'BaseLine Data'!$B9:$AS21,10,FALSE)</f>
        <v>application</v>
      </c>
      <c r="L9" s="18">
        <f>VLOOKUP($B9,'BaseLine Data'!$B9:$AS21,11,FALSE)</f>
        <v>0</v>
      </c>
      <c r="M9" s="18">
        <f>VLOOKUP($B9,'BaseLine Data'!$B9:$AS21,12,FALSE)</f>
        <v>0</v>
      </c>
      <c r="N9" s="18">
        <f>VLOOKUP($B9,'BaseLine Data'!$B9:$AS21,13,FALSE)</f>
        <v>2906</v>
      </c>
      <c r="O9" s="18">
        <f>VLOOKUP($B9,'BaseLine Data'!$B9:$AS21,14,FALSE)</f>
        <v>3955</v>
      </c>
      <c r="P9" s="18">
        <f>VLOOKUP($B9,'BaseLine Data'!$B9:$AS21,15,FALSE)</f>
        <v>7325</v>
      </c>
      <c r="Q9" s="18">
        <f>VLOOKUP($B9,'BaseLine Data'!$B9:$AS21,16,FALSE)</f>
        <v>9538</v>
      </c>
      <c r="R9" s="18">
        <f>VLOOKUP($B9,'BaseLine Data'!$B9:$AS21,17,FALSE)</f>
        <v>32226</v>
      </c>
      <c r="S9" s="18">
        <f>VLOOKUP($B9,'BaseLine Data'!$B9:$AS21,18,FALSE)</f>
        <v>44475</v>
      </c>
      <c r="T9" s="18">
        <f>VLOOKUP($B9,'BaseLine Data'!$B9:$AS21,19,FALSE)</f>
        <v>2592</v>
      </c>
      <c r="U9" s="18">
        <f>VLOOKUP($B9,'BaseLine Data'!$B9:$AS21,20,FALSE)</f>
        <v>930</v>
      </c>
      <c r="V9" s="30">
        <f t="shared" ref="V9:V17" si="0">T9*60*(1/R9)</f>
        <v>4.8259169614596908</v>
      </c>
      <c r="W9" s="30">
        <f t="shared" ref="W9:W17" si="1">U9*60*(1/S9)</f>
        <v>1.2546374367622262</v>
      </c>
      <c r="X9" s="39">
        <f t="shared" ref="X9:X21" si="2">T9/P9</f>
        <v>0.35385665529010241</v>
      </c>
      <c r="Y9" s="46">
        <f t="shared" ref="Y9:Y21" si="3">U9/Q9</f>
        <v>9.7504717970224364E-2</v>
      </c>
      <c r="Z9" s="39">
        <f t="shared" ref="Z9:Z21" si="4">T9/N9</f>
        <v>0.89194769442532695</v>
      </c>
      <c r="AA9" s="37">
        <f t="shared" ref="AA9:AA21" si="5">U9/O9</f>
        <v>0.23514538558786346</v>
      </c>
      <c r="AB9" s="52" t="str">
        <f>VLOOKUP($B9,'BaseLine Data'!$B9:$AS21,31,FALSE)</f>
        <v>Y</v>
      </c>
      <c r="AC9" s="52" t="str">
        <f>VLOOKUP($B9,'BaseLine Data'!$B9:$AS21,32,FALSE)</f>
        <v>N</v>
      </c>
      <c r="AD9" s="52" t="str">
        <f>VLOOKUP($B9,'BaseLine Data'!$B9:$AS21,33,FALSE)</f>
        <v>Y</v>
      </c>
      <c r="AF9" s="47">
        <f>W9</f>
        <v>1.2546374367622262</v>
      </c>
      <c r="AG9" s="47"/>
    </row>
    <row r="10" spans="1:34" ht="70">
      <c r="A10" s="17" t="s">
        <v>24</v>
      </c>
      <c r="B10" s="24" t="s">
        <v>36</v>
      </c>
      <c r="C10" s="18">
        <f>VLOOKUP($B10,'BaseLine Data'!$B9:$AS21,2,FALSE)</f>
        <v>1</v>
      </c>
      <c r="D10" s="18" t="str">
        <f>VLOOKUP($B10,'BaseLine Data'!$B9:$AS21,3,FALSE)</f>
        <v>Lancaster</v>
      </c>
      <c r="E10" s="18">
        <f>VLOOKUP($B10,'BaseLine Data'!$B9:$AS21,4,FALSE)</f>
        <v>908</v>
      </c>
      <c r="F10" s="18" t="str">
        <f>VLOOKUP($B10,'BaseLine Data'!$B9:$AS21,5,FALSE)</f>
        <v>Cape to Colonial</v>
      </c>
      <c r="G10" s="18">
        <f>VLOOKUP($B10,'BaseLine Data'!$B9:$AS21,6,FALSE)</f>
        <v>2</v>
      </c>
      <c r="H10" s="18">
        <f>VLOOKUP($B10,'BaseLine Data'!$B9:$AS21,7,FALSE)</f>
        <v>1900</v>
      </c>
      <c r="I10" s="18" t="str">
        <f>VLOOKUP($B10,'BaseLine Data'!$B9:$AS21,8,FALSE)</f>
        <v>Complete</v>
      </c>
      <c r="J10" s="18" t="str">
        <f>VLOOKUP($B10,'BaseLine Data'!$B9:$AS21,9,FALSE)</f>
        <v>Y</v>
      </c>
      <c r="K10" s="18">
        <f>VLOOKUP($B10,'BaseLine Data'!$B9:$AS21,10,FALSE)</f>
        <v>0</v>
      </c>
      <c r="L10" s="18">
        <f>VLOOKUP($B10,'BaseLine Data'!$B9:$AS21,11,FALSE)</f>
        <v>0</v>
      </c>
      <c r="M10" s="18">
        <f>VLOOKUP($B10,'BaseLine Data'!$B9:$AS21,12,FALSE)</f>
        <v>0</v>
      </c>
      <c r="N10" s="18">
        <f>VLOOKUP($B10,'BaseLine Data'!$B9:$AS21,13,FALSE)</f>
        <v>980</v>
      </c>
      <c r="O10" s="18">
        <f>VLOOKUP($B10,'BaseLine Data'!$B9:$AS21,14,FALSE)</f>
        <v>1440</v>
      </c>
      <c r="P10" s="18">
        <f>VLOOKUP($B10,'BaseLine Data'!$B9:$AS21,15,FALSE)</f>
        <v>2583</v>
      </c>
      <c r="Q10" s="18">
        <f>VLOOKUP($B10,'BaseLine Data'!$B9:$AS21,16,FALSE)</f>
        <v>3222</v>
      </c>
      <c r="R10" s="18">
        <f>VLOOKUP($B10,'BaseLine Data'!$B9:$AS21,17,FALSE)</f>
        <v>7080</v>
      </c>
      <c r="S10" s="18">
        <f>VLOOKUP($B10,'BaseLine Data'!$B9:$AS21,18,FALSE)</f>
        <v>12336</v>
      </c>
      <c r="T10" s="18">
        <f>VLOOKUP($B10,'BaseLine Data'!$B9:$AS21,19,FALSE)</f>
        <v>4254</v>
      </c>
      <c r="U10" s="18">
        <f>VLOOKUP($B10,'BaseLine Data'!$B9:$AS21,20,FALSE)</f>
        <v>293</v>
      </c>
      <c r="V10" s="30">
        <f t="shared" si="0"/>
        <v>36.050847457627121</v>
      </c>
      <c r="W10" s="30">
        <f t="shared" si="1"/>
        <v>1.4250972762645915</v>
      </c>
      <c r="X10" s="39">
        <f t="shared" si="2"/>
        <v>1.6469221835075494</v>
      </c>
      <c r="Y10" s="37">
        <f t="shared" si="3"/>
        <v>9.0937306021104905E-2</v>
      </c>
      <c r="Z10" s="39">
        <f t="shared" si="4"/>
        <v>4.3408163265306126</v>
      </c>
      <c r="AA10" s="37">
        <f t="shared" si="5"/>
        <v>0.20347222222222222</v>
      </c>
      <c r="AB10" s="52" t="str">
        <f>VLOOKUP($B10,'BaseLine Data'!$B9:$AS21,31,FALSE)</f>
        <v>Y</v>
      </c>
      <c r="AC10" s="52" t="str">
        <f>VLOOKUP($B10,'BaseLine Data'!$B9:$AS21,32,FALSE)</f>
        <v>Y</v>
      </c>
      <c r="AD10" s="52" t="str">
        <f>VLOOKUP($B10,'BaseLine Data'!$B9:$AS21,33,FALSE)</f>
        <v>Y</v>
      </c>
      <c r="AF10" s="47"/>
      <c r="AG10" s="47">
        <f>W10</f>
        <v>1.4250972762645915</v>
      </c>
    </row>
    <row r="11" spans="1:34" ht="28">
      <c r="A11" s="17" t="s">
        <v>24</v>
      </c>
      <c r="B11" s="18" t="s">
        <v>29</v>
      </c>
      <c r="C11" s="18">
        <f>VLOOKUP($B11,'BaseLine Data'!$B9:$AS21,2,FALSE)</f>
        <v>1</v>
      </c>
      <c r="D11" s="18" t="str">
        <f>VLOOKUP($B11,'BaseLine Data'!$B9:$AS21,3,FALSE)</f>
        <v>Milton</v>
      </c>
      <c r="E11" s="18">
        <f>VLOOKUP($B11,'BaseLine Data'!$B9:$AS21,4,FALSE)</f>
        <v>1600</v>
      </c>
      <c r="F11" s="18" t="str">
        <f>VLOOKUP($B11,'BaseLine Data'!$B9:$AS21,5,FALSE)</f>
        <v>Garrison Colonial</v>
      </c>
      <c r="G11" s="18">
        <f>VLOOKUP($B11,'BaseLine Data'!$B9:$AS21,6,FALSE)</f>
        <v>2</v>
      </c>
      <c r="H11" s="18">
        <f>VLOOKUP($B11,'BaseLine Data'!$B9:$AS21,7,FALSE)</f>
        <v>1960</v>
      </c>
      <c r="I11" s="18" t="str">
        <f>VLOOKUP($B11,'BaseLine Data'!$B9:$AS21,8,FALSE)</f>
        <v>Complete</v>
      </c>
      <c r="J11" s="18" t="str">
        <f>VLOOKUP($B11,'BaseLine Data'!$B9:$AS21,9,FALSE)</f>
        <v>Y</v>
      </c>
      <c r="K11" s="18" t="str">
        <f>VLOOKUP($B11,'BaseLine Data'!$B9:$AS21,10,FALSE)</f>
        <v>take-off from drawings</v>
      </c>
      <c r="L11" s="18" t="str">
        <f>VLOOKUP($B11,'BaseLine Data'!$B9:$AS21,11,FALSE)</f>
        <v>Included</v>
      </c>
      <c r="M11" s="18" t="str">
        <f>VLOOKUP($B11,'BaseLine Data'!$B9:$AS21,12,FALSE)</f>
        <v>Included</v>
      </c>
      <c r="N11" s="18">
        <f>VLOOKUP($B11,'BaseLine Data'!$B9:$AS21,13,FALSE)</f>
        <v>2368</v>
      </c>
      <c r="O11" s="18">
        <f>VLOOKUP($B11,'BaseLine Data'!$B9:$AS21,14,FALSE)</f>
        <v>2368</v>
      </c>
      <c r="P11" s="18">
        <f>VLOOKUP($B11,'BaseLine Data'!$B9:$AS21,15,FALSE)</f>
        <v>3408</v>
      </c>
      <c r="Q11" s="18">
        <f>VLOOKUP($B11,'BaseLine Data'!$B9:$AS21,16,FALSE)</f>
        <v>3740</v>
      </c>
      <c r="R11" s="18">
        <f>VLOOKUP($B11,'BaseLine Data'!$B9:$AS21,17,FALSE)</f>
        <v>22457.599999999999</v>
      </c>
      <c r="S11" s="18">
        <f>VLOOKUP($B11,'BaseLine Data'!$B9:$AS21,18,FALSE)</f>
        <v>24457.599999999999</v>
      </c>
      <c r="T11" s="18">
        <f>VLOOKUP($B11,'BaseLine Data'!$B9:$AS21,19,FALSE)</f>
        <v>1695</v>
      </c>
      <c r="U11" s="18">
        <f>VLOOKUP($B11,'BaseLine Data'!$B9:$AS21,20,FALSE)</f>
        <v>584</v>
      </c>
      <c r="V11" s="30">
        <f t="shared" si="0"/>
        <v>4.5285337703049304</v>
      </c>
      <c r="W11" s="28">
        <f t="shared" si="1"/>
        <v>1.4326835012429675</v>
      </c>
      <c r="X11" s="29">
        <f t="shared" si="2"/>
        <v>0.49735915492957744</v>
      </c>
      <c r="Y11" s="28">
        <f t="shared" si="3"/>
        <v>0.15614973262032086</v>
      </c>
      <c r="Z11" s="29">
        <f t="shared" si="4"/>
        <v>0.71579391891891897</v>
      </c>
      <c r="AA11" s="28">
        <f t="shared" si="5"/>
        <v>0.24662162162162163</v>
      </c>
      <c r="AB11" s="52" t="str">
        <f>VLOOKUP($B11,'BaseLine Data'!$B9:$AS21,31,FALSE)</f>
        <v>Y</v>
      </c>
      <c r="AC11" s="52" t="str">
        <f>VLOOKUP($B11,'BaseLine Data'!$B9:$AS21,32,FALSE)</f>
        <v>N</v>
      </c>
      <c r="AD11" s="52" t="str">
        <f>VLOOKUP($B11,'BaseLine Data'!$B9:$AS21,33,FALSE)</f>
        <v>Y</v>
      </c>
      <c r="AF11" s="47">
        <f>W11</f>
        <v>1.4326835012429675</v>
      </c>
      <c r="AG11" s="47"/>
    </row>
    <row r="12" spans="1:34">
      <c r="A12" s="17" t="s">
        <v>24</v>
      </c>
      <c r="B12" s="18" t="s">
        <v>37</v>
      </c>
      <c r="C12" s="18">
        <f>VLOOKUP($B12,'BaseLine Data'!$B9:$AS21,2,FALSE)</f>
        <v>1</v>
      </c>
      <c r="D12" s="18" t="str">
        <f>VLOOKUP($B12,'BaseLine Data'!$B9:$AS21,3,FALSE)</f>
        <v>Brookline</v>
      </c>
      <c r="E12" s="18">
        <f>VLOOKUP($B12,'BaseLine Data'!$B9:$AS21,4,FALSE)</f>
        <v>2284</v>
      </c>
      <c r="F12" s="18" t="str">
        <f>VLOOKUP($B12,'BaseLine Data'!$B9:$AS21,5,FALSE)</f>
        <v>Victorian</v>
      </c>
      <c r="G12" s="18">
        <f>VLOOKUP($B12,'BaseLine Data'!$B9:$AS21,6,FALSE)</f>
        <v>3</v>
      </c>
      <c r="H12" s="18">
        <f>VLOOKUP($B12,'BaseLine Data'!$B9:$AS21,7,FALSE)</f>
        <v>1899</v>
      </c>
      <c r="I12" s="18" t="str">
        <f>VLOOKUP($B12,'BaseLine Data'!$B9:$AS21,8,FALSE)</f>
        <v>Complete</v>
      </c>
      <c r="J12" s="18">
        <f>VLOOKUP($B12,'BaseLine Data'!$B9:$AS21,9,FALSE)</f>
        <v>0</v>
      </c>
      <c r="K12" s="18">
        <f>VLOOKUP($B12,'BaseLine Data'!$B9:$AS21,10,FALSE)</f>
        <v>0</v>
      </c>
      <c r="L12" s="18">
        <f>VLOOKUP($B12,'BaseLine Data'!$B9:$AS21,11,FALSE)</f>
        <v>0</v>
      </c>
      <c r="M12" s="18">
        <f>VLOOKUP($B12,'BaseLine Data'!$B9:$AS21,12,FALSE)</f>
        <v>0</v>
      </c>
      <c r="N12" s="18">
        <f>VLOOKUP($B12,'BaseLine Data'!$B9:$AS21,13,FALSE)</f>
        <v>3078</v>
      </c>
      <c r="O12" s="18">
        <f>VLOOKUP($B12,'BaseLine Data'!$B9:$AS21,14,FALSE)</f>
        <v>3174</v>
      </c>
      <c r="P12" s="18">
        <f>VLOOKUP($B12,'BaseLine Data'!$B9:$AS21,15,FALSE)</f>
        <v>5794</v>
      </c>
      <c r="Q12" s="18">
        <f>VLOOKUP($B12,'BaseLine Data'!$B9:$AS21,16,FALSE)</f>
        <v>5924</v>
      </c>
      <c r="R12" s="18">
        <f>VLOOKUP($B12,'BaseLine Data'!$B9:$AS21,17,FALSE)</f>
        <v>26187</v>
      </c>
      <c r="S12" s="18">
        <f>VLOOKUP($B12,'BaseLine Data'!$B9:$AS21,18,FALSE)</f>
        <v>26187</v>
      </c>
      <c r="T12" s="18">
        <f>VLOOKUP($B12,'BaseLine Data'!$B9:$AS21,19,FALSE)</f>
        <v>1640</v>
      </c>
      <c r="U12" s="18">
        <f>VLOOKUP($B12,'BaseLine Data'!$B9:$AS21,20,FALSE)</f>
        <v>655</v>
      </c>
      <c r="V12" s="30">
        <f t="shared" si="0"/>
        <v>3.7575896437163481</v>
      </c>
      <c r="W12" s="28">
        <f t="shared" si="1"/>
        <v>1.5007446442891512</v>
      </c>
      <c r="X12" s="29">
        <f t="shared" si="2"/>
        <v>0.28305143251639625</v>
      </c>
      <c r="Y12" s="28">
        <f t="shared" si="3"/>
        <v>0.11056718433490885</v>
      </c>
      <c r="Z12" s="29">
        <f t="shared" si="4"/>
        <v>0.53281351526965559</v>
      </c>
      <c r="AA12" s="28">
        <f t="shared" si="5"/>
        <v>0.20636420919974796</v>
      </c>
      <c r="AB12" s="52" t="str">
        <f>VLOOKUP($B12,'BaseLine Data'!$B9:$AS21,31,FALSE)</f>
        <v>Y</v>
      </c>
      <c r="AC12" s="52" t="str">
        <f>VLOOKUP($B12,'BaseLine Data'!$B9:$AS21,32,FALSE)</f>
        <v>N</v>
      </c>
      <c r="AD12" s="52" t="str">
        <f>VLOOKUP($B12,'BaseLine Data'!$B9:$AS21,33,FALSE)</f>
        <v>Y</v>
      </c>
      <c r="AF12" s="47">
        <f>W12</f>
        <v>1.5007446442891512</v>
      </c>
      <c r="AG12" s="47"/>
    </row>
    <row r="13" spans="1:34">
      <c r="A13" s="17" t="s">
        <v>24</v>
      </c>
      <c r="B13" s="18" t="s">
        <v>25</v>
      </c>
      <c r="C13" s="18">
        <f>VLOOKUP($B13,'BaseLine Data'!$B9:$AS21,2,FALSE)</f>
        <v>1</v>
      </c>
      <c r="D13" s="18" t="str">
        <f>VLOOKUP($B13,'BaseLine Data'!$B9:$AS21,3,FALSE)</f>
        <v>Belchertown</v>
      </c>
      <c r="E13" s="18">
        <f>VLOOKUP($B13,'BaseLine Data'!$B9:$AS21,4,FALSE)</f>
        <v>1352</v>
      </c>
      <c r="F13" s="18" t="str">
        <f>VLOOKUP($B13,'BaseLine Data'!$B9:$AS21,5,FALSE)</f>
        <v>Cape</v>
      </c>
      <c r="G13" s="18">
        <f>VLOOKUP($B13,'BaseLine Data'!$B9:$AS21,6,FALSE)</f>
        <v>1.5</v>
      </c>
      <c r="H13" s="18">
        <f>VLOOKUP($B13,'BaseLine Data'!$B9:$AS21,7,FALSE)</f>
        <v>1760</v>
      </c>
      <c r="I13" s="18" t="str">
        <f>VLOOKUP($B13,'BaseLine Data'!$B9:$AS21,8,FALSE)</f>
        <v>Complete</v>
      </c>
      <c r="J13" s="18" t="str">
        <f>VLOOKUP($B13,'BaseLine Data'!$B9:$AS21,9,FALSE)</f>
        <v>Y</v>
      </c>
      <c r="K13" s="18" t="str">
        <f>VLOOKUP($B13,'BaseLine Data'!$B9:$AS21,10,FALSE)</f>
        <v>W.A.G.</v>
      </c>
      <c r="L13" s="18" t="str">
        <f>VLOOKUP($B13,'BaseLine Data'!$B9:$AS21,11,FALSE)</f>
        <v>Excluded</v>
      </c>
      <c r="M13" s="18" t="str">
        <f>VLOOKUP($B13,'BaseLine Data'!$B9:$AS21,12,FALSE)</f>
        <v>Included</v>
      </c>
      <c r="N13" s="18">
        <f>VLOOKUP($B13,'BaseLine Data'!$B9:$AS21,13,FALSE)</f>
        <v>1435</v>
      </c>
      <c r="O13" s="18">
        <f>VLOOKUP($B13,'BaseLine Data'!$B9:$AS21,14,FALSE)</f>
        <v>1907</v>
      </c>
      <c r="P13" s="18">
        <f>VLOOKUP($B13,'BaseLine Data'!$B9:$AS21,15,FALSE)</f>
        <v>3726</v>
      </c>
      <c r="Q13" s="18">
        <f>VLOOKUP($B13,'BaseLine Data'!$B9:$AS21,16,FALSE)</f>
        <v>4066</v>
      </c>
      <c r="R13" s="18">
        <f>VLOOKUP($B13,'BaseLine Data'!$B9:$AS21,17,FALSE)</f>
        <v>9448</v>
      </c>
      <c r="S13" s="18">
        <f>VLOOKUP($B13,'BaseLine Data'!$B9:$AS21,18,FALSE)</f>
        <v>14972</v>
      </c>
      <c r="T13" s="18">
        <f>VLOOKUP($B13,'BaseLine Data'!$B9:$AS21,19,FALSE)</f>
        <v>9079</v>
      </c>
      <c r="U13" s="18">
        <f>VLOOKUP($B13,'BaseLine Data'!$B9:$AS21,20,FALSE)</f>
        <v>468</v>
      </c>
      <c r="V13" s="36">
        <f t="shared" si="0"/>
        <v>57.656646909398809</v>
      </c>
      <c r="W13" s="28">
        <f t="shared" si="1"/>
        <v>1.8755009350788139</v>
      </c>
      <c r="X13" s="38">
        <f t="shared" si="2"/>
        <v>2.4366612989801397</v>
      </c>
      <c r="Y13" s="40">
        <f t="shared" si="3"/>
        <v>0.11510083620265617</v>
      </c>
      <c r="Z13" s="38">
        <f t="shared" si="4"/>
        <v>6.3268292682926832</v>
      </c>
      <c r="AA13" s="40">
        <f t="shared" si="5"/>
        <v>0.2454116413214473</v>
      </c>
      <c r="AB13" s="52" t="str">
        <f>VLOOKUP($B13,'BaseLine Data'!$B9:$AS21,31,FALSE)</f>
        <v>Y</v>
      </c>
      <c r="AC13" s="52" t="str">
        <f>VLOOKUP($B13,'BaseLine Data'!$B9:$AS21,32,FALSE)</f>
        <v>Y</v>
      </c>
      <c r="AD13" s="52" t="str">
        <f>VLOOKUP($B13,'BaseLine Data'!$B9:$AS21,33,FALSE)</f>
        <v>Y</v>
      </c>
      <c r="AE13" s="47">
        <f>W13</f>
        <v>1.8755009350788139</v>
      </c>
    </row>
    <row r="14" spans="1:34">
      <c r="A14" s="17" t="s">
        <v>24</v>
      </c>
      <c r="B14" s="18" t="s">
        <v>34</v>
      </c>
      <c r="C14" s="18">
        <f>VLOOKUP($B14,'BaseLine Data'!$B9:$AS21,2,FALSE)</f>
        <v>3</v>
      </c>
      <c r="D14" s="18" t="str">
        <f>VLOOKUP($B14,'BaseLine Data'!$B9:$AS21,3,FALSE)</f>
        <v>Jamaica Plain</v>
      </c>
      <c r="E14" s="18">
        <f>VLOOKUP($B14,'BaseLine Data'!$B9:$AS21,4,FALSE)</f>
        <v>3885</v>
      </c>
      <c r="F14" s="18" t="str">
        <f>VLOOKUP($B14,'BaseLine Data'!$B9:$AS21,5,FALSE)</f>
        <v>3-family</v>
      </c>
      <c r="G14" s="18">
        <f>VLOOKUP($B14,'BaseLine Data'!$B9:$AS21,6,FALSE)</f>
        <v>3</v>
      </c>
      <c r="H14" s="18">
        <f>VLOOKUP($B14,'BaseLine Data'!$B9:$AS21,7,FALSE)</f>
        <v>1907</v>
      </c>
      <c r="I14" s="18" t="str">
        <f>VLOOKUP($B14,'BaseLine Data'!$B9:$AS21,8,FALSE)</f>
        <v>Complete</v>
      </c>
      <c r="J14" s="18">
        <f>VLOOKUP($B14,'BaseLine Data'!$B9:$AS21,9,FALSE)</f>
        <v>0</v>
      </c>
      <c r="K14" s="18">
        <f>VLOOKUP($B14,'BaseLine Data'!$B9:$AS21,10,FALSE)</f>
        <v>0</v>
      </c>
      <c r="L14" s="18">
        <f>VLOOKUP($B14,'BaseLine Data'!$B9:$AS21,11,FALSE)</f>
        <v>0</v>
      </c>
      <c r="M14" s="18">
        <f>VLOOKUP($B14,'BaseLine Data'!$B9:$AS21,12,FALSE)</f>
        <v>0</v>
      </c>
      <c r="N14" s="18">
        <f>VLOOKUP($B14,'BaseLine Data'!$B9:$AS21,13,FALSE)</f>
        <v>3885</v>
      </c>
      <c r="O14" s="18">
        <f>VLOOKUP($B14,'BaseLine Data'!$B9:$AS21,14,FALSE)</f>
        <v>3885</v>
      </c>
      <c r="P14" s="18">
        <f>VLOOKUP($B14,'BaseLine Data'!$B9:$AS21,15,FALSE)</f>
        <v>6308</v>
      </c>
      <c r="Q14" s="18">
        <f>VLOOKUP($B14,'BaseLine Data'!$B9:$AS21,16,FALSE)</f>
        <v>7456</v>
      </c>
      <c r="R14" s="18">
        <f>VLOOKUP($B14,'BaseLine Data'!$B9:$AS21,17,FALSE)</f>
        <v>42586</v>
      </c>
      <c r="S14" s="18">
        <f>VLOOKUP($B14,'BaseLine Data'!$B9:$AS21,18,FALSE)</f>
        <v>42586</v>
      </c>
      <c r="T14" s="18">
        <f>VLOOKUP($B14,'BaseLine Data'!$B9:$AS21,19,FALSE)</f>
        <v>7729</v>
      </c>
      <c r="U14" s="18">
        <f>VLOOKUP($B14,'BaseLine Data'!$B9:$AS21,20,FALSE)</f>
        <v>1802</v>
      </c>
      <c r="V14" s="30">
        <f t="shared" si="0"/>
        <v>10.889494199971821</v>
      </c>
      <c r="W14" s="28">
        <f t="shared" si="1"/>
        <v>2.5388625369839852</v>
      </c>
      <c r="X14" s="29">
        <f t="shared" si="2"/>
        <v>1.2252694990488269</v>
      </c>
      <c r="Y14" s="28">
        <f t="shared" si="3"/>
        <v>0.24168454935622319</v>
      </c>
      <c r="Z14" s="31">
        <f t="shared" si="4"/>
        <v>1.9894465894465894</v>
      </c>
      <c r="AA14" s="32">
        <f t="shared" si="5"/>
        <v>0.46383526383526386</v>
      </c>
      <c r="AB14" s="52" t="str">
        <f>VLOOKUP($B14,'BaseLine Data'!$B9:$AS21,31,FALSE)</f>
        <v>Y</v>
      </c>
      <c r="AC14" s="52" t="str">
        <f>VLOOKUP($B14,'BaseLine Data'!$B9:$AS21,32,FALSE)</f>
        <v>N</v>
      </c>
      <c r="AD14" s="52" t="str">
        <f>VLOOKUP($B14,'BaseLine Data'!$B9:$AS21,33,FALSE)</f>
        <v>Y</v>
      </c>
      <c r="AF14" s="47"/>
      <c r="AG14" s="47">
        <f>W14</f>
        <v>2.5388625369839852</v>
      </c>
    </row>
    <row r="15" spans="1:34" ht="28">
      <c r="A15" s="17" t="s">
        <v>24</v>
      </c>
      <c r="B15" s="18" t="s">
        <v>31</v>
      </c>
      <c r="C15" s="18">
        <f>VLOOKUP($B15,'BaseLine Data'!$B9:$AS21,2,FALSE)</f>
        <v>2</v>
      </c>
      <c r="D15" s="18" t="str">
        <f>VLOOKUP($B15,'BaseLine Data'!$B9:$AS21,3,FALSE)</f>
        <v>Arlington</v>
      </c>
      <c r="E15" s="18">
        <f>VLOOKUP($B15,'BaseLine Data'!$B9:$AS21,4,FALSE)</f>
        <v>2112</v>
      </c>
      <c r="F15" s="18" t="str">
        <f>VLOOKUP($B15,'BaseLine Data'!$B9:$AS21,5,FALSE)</f>
        <v>2 family</v>
      </c>
      <c r="G15" s="18">
        <f>VLOOKUP($B15,'BaseLine Data'!$B9:$AS21,6,FALSE)</f>
        <v>2</v>
      </c>
      <c r="H15" s="18">
        <f>VLOOKUP($B15,'BaseLine Data'!$B9:$AS21,7,FALSE)</f>
        <v>1910</v>
      </c>
      <c r="I15" s="18" t="str">
        <f>VLOOKUP($B15,'BaseLine Data'!$B9:$AS21,8,FALSE)</f>
        <v>Complete</v>
      </c>
      <c r="J15" s="18">
        <f>VLOOKUP($B15,'BaseLine Data'!$B9:$AS21,9,FALSE)</f>
        <v>0</v>
      </c>
      <c r="K15" s="18" t="str">
        <f>VLOOKUP($B15,'BaseLine Data'!$B9:$AS21,10,FALSE)</f>
        <v>take-off from drawings</v>
      </c>
      <c r="L15" s="18" t="str">
        <f>VLOOKUP($B15,'BaseLine Data'!$B9:$AS21,11,FALSE)</f>
        <v>Excluded</v>
      </c>
      <c r="M15" s="18" t="str">
        <f>VLOOKUP($B15,'BaseLine Data'!$B9:$AS21,12,FALSE)</f>
        <v>Excluded</v>
      </c>
      <c r="N15" s="18">
        <f>VLOOKUP($B15,'BaseLine Data'!$B9:$AS21,13,FALSE)</f>
        <v>2502</v>
      </c>
      <c r="O15" s="18">
        <f>VLOOKUP($B15,'BaseLine Data'!$B9:$AS21,14,FALSE)</f>
        <v>3627</v>
      </c>
      <c r="P15" s="18">
        <f>VLOOKUP($B15,'BaseLine Data'!$B9:$AS21,15,FALSE)</f>
        <v>5153</v>
      </c>
      <c r="Q15" s="18">
        <f>VLOOKUP($B15,'BaseLine Data'!$B9:$AS21,16,FALSE)</f>
        <v>5925</v>
      </c>
      <c r="R15" s="18">
        <f>VLOOKUP($B15,'BaseLine Data'!$B9:$AS21,17,FALSE)</f>
        <v>20157</v>
      </c>
      <c r="S15" s="18">
        <f>VLOOKUP($B15,'BaseLine Data'!$B9:$AS21,18,FALSE)</f>
        <v>29648</v>
      </c>
      <c r="T15" s="18">
        <f>VLOOKUP($B15,'BaseLine Data'!$B9:$AS21,19,FALSE)</f>
        <v>8730</v>
      </c>
      <c r="U15" s="18">
        <f>VLOOKUP($B15,'BaseLine Data'!$B9:$AS21,20,FALSE)</f>
        <v>3586</v>
      </c>
      <c r="V15" s="30">
        <f t="shared" si="0"/>
        <v>25.986009822890313</v>
      </c>
      <c r="W15" s="28">
        <f t="shared" si="1"/>
        <v>7.2571505666486775</v>
      </c>
      <c r="X15" s="29">
        <f t="shared" si="2"/>
        <v>1.6941587424801088</v>
      </c>
      <c r="Y15" s="28">
        <f t="shared" si="3"/>
        <v>0.60523206751054848</v>
      </c>
      <c r="Z15" s="29">
        <f t="shared" si="4"/>
        <v>3.4892086330935252</v>
      </c>
      <c r="AA15" s="28">
        <f t="shared" si="5"/>
        <v>0.98869589192169838</v>
      </c>
      <c r="AB15" s="52" t="str">
        <f>VLOOKUP($B15,'BaseLine Data'!$B9:$AS21,31,FALSE)</f>
        <v>Y</v>
      </c>
      <c r="AC15" s="52" t="str">
        <f>VLOOKUP($B15,'BaseLine Data'!$B9:$AS21,32,FALSE)</f>
        <v>N</v>
      </c>
      <c r="AD15" s="52" t="str">
        <f>VLOOKUP($B15,'BaseLine Data'!$B9:$AS21,33,FALSE)</f>
        <v>Y</v>
      </c>
      <c r="AF15" s="47">
        <f>W15</f>
        <v>7.2571505666486775</v>
      </c>
      <c r="AG15" s="47"/>
    </row>
    <row r="16" spans="1:34">
      <c r="A16" s="17" t="s">
        <v>24</v>
      </c>
      <c r="B16" s="18" t="s">
        <v>40</v>
      </c>
      <c r="C16" s="18">
        <f>VLOOKUP($B16,'BaseLine Data'!$B9:$AS21,2,FALSE)</f>
        <v>1</v>
      </c>
      <c r="D16" s="18" t="str">
        <f>VLOOKUP($B16,'BaseLine Data'!$B9:$AS21,3,FALSE)</f>
        <v>Gloucester</v>
      </c>
      <c r="E16" s="18">
        <f>VLOOKUP($B16,'BaseLine Data'!$B9:$AS21,4,FALSE)</f>
        <v>2171</v>
      </c>
      <c r="F16" s="18" t="str">
        <f>VLOOKUP($B16,'BaseLine Data'!$B9:$AS21,5,FALSE)</f>
        <v>Single family</v>
      </c>
      <c r="G16" s="18">
        <f>VLOOKUP($B16,'BaseLine Data'!$B9:$AS21,6,FALSE)</f>
        <v>2</v>
      </c>
      <c r="H16" s="18">
        <f>VLOOKUP($B16,'BaseLine Data'!$B9:$AS21,7,FALSE)</f>
        <v>1920</v>
      </c>
      <c r="I16" s="18" t="str">
        <f>VLOOKUP($B16,'BaseLine Data'!$B9:$AS21,8,FALSE)</f>
        <v>Complete</v>
      </c>
      <c r="J16" s="18">
        <f>VLOOKUP($B16,'BaseLine Data'!$B9:$AS21,9,FALSE)</f>
        <v>0</v>
      </c>
      <c r="K16" s="18" t="str">
        <f>VLOOKUP($B16,'BaseLine Data'!$B9:$AS21,10,FALSE)</f>
        <v>application</v>
      </c>
      <c r="L16" s="18">
        <f>VLOOKUP($B16,'BaseLine Data'!$B9:$AS21,11,FALSE)</f>
        <v>0</v>
      </c>
      <c r="M16" s="18">
        <f>VLOOKUP($B16,'BaseLine Data'!$B9:$AS21,12,FALSE)</f>
        <v>0</v>
      </c>
      <c r="N16" s="18">
        <f>VLOOKUP($B16,'BaseLine Data'!$B9:$AS21,13,FALSE)</f>
        <v>2171</v>
      </c>
      <c r="O16" s="18">
        <f>VLOOKUP($B16,'BaseLine Data'!$B9:$AS21,14,FALSE)</f>
        <v>2424</v>
      </c>
      <c r="P16" s="18">
        <f>VLOOKUP($B16,'BaseLine Data'!$B9:$AS21,15,FALSE)</f>
        <v>5325</v>
      </c>
      <c r="Q16" s="18">
        <f>VLOOKUP($B16,'BaseLine Data'!$B9:$AS21,16,FALSE)</f>
        <v>6493</v>
      </c>
      <c r="R16" s="18">
        <f>VLOOKUP($B16,'BaseLine Data'!$B9:$AS21,17,FALSE)</f>
        <v>0</v>
      </c>
      <c r="S16" s="18">
        <f>VLOOKUP($B16,'BaseLine Data'!$B9:$AS21,18,FALSE)</f>
        <v>23285</v>
      </c>
      <c r="T16" s="18">
        <f>VLOOKUP($B16,'BaseLine Data'!$B9:$AS21,19,FALSE)</f>
        <v>2258</v>
      </c>
      <c r="U16" s="18">
        <f>VLOOKUP($B16,'BaseLine Data'!$B9:$AS21,20,FALSE)</f>
        <v>235</v>
      </c>
      <c r="V16" s="30" t="e">
        <f t="shared" si="0"/>
        <v>#DIV/0!</v>
      </c>
      <c r="W16" s="28">
        <f t="shared" si="1"/>
        <v>0.60554004724071286</v>
      </c>
      <c r="X16" s="29">
        <f t="shared" si="2"/>
        <v>0.42403755868544601</v>
      </c>
      <c r="Y16" s="34">
        <f t="shared" si="3"/>
        <v>3.6192823040197136E-2</v>
      </c>
      <c r="Z16" s="29">
        <f t="shared" si="4"/>
        <v>1.0400736987563335</v>
      </c>
      <c r="AA16" s="28">
        <f t="shared" si="5"/>
        <v>9.6947194719471941E-2</v>
      </c>
      <c r="AB16" s="52" t="str">
        <f>VLOOKUP($B16,'BaseLine Data'!$B9:$AS21,31,FALSE)</f>
        <v>N</v>
      </c>
      <c r="AC16" s="52" t="str">
        <f>VLOOKUP($B16,'BaseLine Data'!$B9:$AS21,32,FALSE)</f>
        <v>N</v>
      </c>
      <c r="AD16" s="52" t="str">
        <f>VLOOKUP($B16,'BaseLine Data'!$B9:$AS21,33,FALSE)</f>
        <v>N</v>
      </c>
      <c r="AH16" s="47">
        <f>W16</f>
        <v>0.60554004724071286</v>
      </c>
    </row>
    <row r="17" spans="1:34" ht="28">
      <c r="A17" s="17" t="s">
        <v>24</v>
      </c>
      <c r="B17" s="18" t="s">
        <v>27</v>
      </c>
      <c r="C17" s="18">
        <f>VLOOKUP($B17,'BaseLine Data'!$B9:$AS21,2,FALSE)</f>
        <v>2</v>
      </c>
      <c r="D17" s="18" t="str">
        <f>VLOOKUP($B17,'BaseLine Data'!$B9:$AS21,3,FALSE)</f>
        <v>Belmont</v>
      </c>
      <c r="E17" s="18">
        <f>VLOOKUP($B17,'BaseLine Data'!$B9:$AS21,4,FALSE)</f>
        <v>2728</v>
      </c>
      <c r="F17" s="18" t="str">
        <f>VLOOKUP($B17,'BaseLine Data'!$B9:$AS21,5,FALSE)</f>
        <v>2 family</v>
      </c>
      <c r="G17" s="18">
        <f>VLOOKUP($B17,'BaseLine Data'!$B9:$AS21,6,FALSE)</f>
        <v>3</v>
      </c>
      <c r="H17" s="18">
        <f>VLOOKUP($B17,'BaseLine Data'!$B9:$AS21,7,FALSE)</f>
        <v>1925</v>
      </c>
      <c r="I17" s="18" t="str">
        <f>VLOOKUP($B17,'BaseLine Data'!$B9:$AS21,8,FALSE)</f>
        <v>Complete</v>
      </c>
      <c r="J17" s="18" t="str">
        <f>VLOOKUP($B17,'BaseLine Data'!$B9:$AS21,9,FALSE)</f>
        <v>Y</v>
      </c>
      <c r="K17" s="18">
        <f>VLOOKUP($B17,'BaseLine Data'!$B9:$AS21,10,FALSE)</f>
        <v>0</v>
      </c>
      <c r="L17" s="18" t="str">
        <f>VLOOKUP($B17,'BaseLine Data'!$B9:$AS21,11,FALSE)</f>
        <v>Excluded</v>
      </c>
      <c r="M17" s="18" t="str">
        <f>VLOOKUP($B17,'BaseLine Data'!$B9:$AS21,12,FALSE)</f>
        <v>Included</v>
      </c>
      <c r="N17" s="18">
        <f>VLOOKUP($B17,'BaseLine Data'!$B9:$AS21,13,FALSE)</f>
        <v>3417</v>
      </c>
      <c r="O17" s="18">
        <f>VLOOKUP($B17,'BaseLine Data'!$B9:$AS21,14,FALSE)</f>
        <v>4768</v>
      </c>
      <c r="P17" s="18">
        <f>VLOOKUP($B17,'BaseLine Data'!$B9:$AS21,15,FALSE)</f>
        <v>7468</v>
      </c>
      <c r="Q17" s="18">
        <f>VLOOKUP($B17,'BaseLine Data'!$B9:$AS21,16,FALSE)</f>
        <v>9093</v>
      </c>
      <c r="R17" s="18">
        <f>VLOOKUP($B17,'BaseLine Data'!$B9:$AS21,17,FALSE)</f>
        <v>36898</v>
      </c>
      <c r="S17" s="18">
        <f>VLOOKUP($B17,'BaseLine Data'!$B9:$AS21,18,FALSE)</f>
        <v>47706</v>
      </c>
      <c r="T17" s="18">
        <f>VLOOKUP($B17,'BaseLine Data'!$B9:$AS21,19,FALSE)</f>
        <v>5700</v>
      </c>
      <c r="U17" s="18">
        <f>VLOOKUP($B17,'BaseLine Data'!$B9:$AS21,20,FALSE)</f>
        <v>590</v>
      </c>
      <c r="V17" s="30">
        <f t="shared" si="0"/>
        <v>9.2687950566426363</v>
      </c>
      <c r="W17" s="28">
        <f t="shared" si="1"/>
        <v>0.74204502578292031</v>
      </c>
      <c r="X17" s="38">
        <f t="shared" si="2"/>
        <v>0.76325656132833419</v>
      </c>
      <c r="Y17" s="40">
        <f t="shared" si="3"/>
        <v>6.4885076432420544E-2</v>
      </c>
      <c r="Z17" s="38">
        <f t="shared" si="4"/>
        <v>1.6681299385425812</v>
      </c>
      <c r="AA17" s="40">
        <f t="shared" si="5"/>
        <v>0.12374161073825503</v>
      </c>
      <c r="AB17" s="52" t="str">
        <f>VLOOKUP($B17,'BaseLine Data'!$B9:$AS21,31,FALSE)</f>
        <v>N</v>
      </c>
      <c r="AC17" s="52" t="str">
        <f>VLOOKUP($B17,'BaseLine Data'!$B9:$AS21,32,FALSE)</f>
        <v>N</v>
      </c>
      <c r="AD17" s="52" t="str">
        <f>VLOOKUP($B17,'BaseLine Data'!$B9:$AS21,33,FALSE)</f>
        <v>N</v>
      </c>
      <c r="AH17" s="47">
        <f t="shared" ref="AH17:AH21" si="6">W17</f>
        <v>0.74204502578292031</v>
      </c>
    </row>
    <row r="18" spans="1:34">
      <c r="A18" s="17" t="s">
        <v>24</v>
      </c>
      <c r="B18" s="18" t="s">
        <v>35</v>
      </c>
      <c r="C18" s="18">
        <f>VLOOKUP($B18,'BaseLine Data'!$B9:$AS21,2,FALSE)</f>
        <v>1</v>
      </c>
      <c r="D18" s="18" t="str">
        <f>VLOOKUP($B18,'BaseLine Data'!$B9:$AS21,3,FALSE)</f>
        <v>Northampton</v>
      </c>
      <c r="E18" s="18">
        <f>VLOOKUP($B18,'BaseLine Data'!$B9:$AS21,4,FALSE)</f>
        <v>2032</v>
      </c>
      <c r="F18" s="18" t="str">
        <f>VLOOKUP($B18,'BaseLine Data'!$B9:$AS21,5,FALSE)</f>
        <v>Victorian</v>
      </c>
      <c r="G18" s="18">
        <f>VLOOKUP($B18,'BaseLine Data'!$B9:$AS21,6,FALSE)</f>
        <v>1</v>
      </c>
      <c r="H18" s="18">
        <f>VLOOKUP($B18,'BaseLine Data'!$B9:$AS21,7,FALSE)</f>
        <v>1859</v>
      </c>
      <c r="I18" s="18" t="str">
        <f>VLOOKUP($B18,'BaseLine Data'!$B9:$AS21,8,FALSE)</f>
        <v>Complete</v>
      </c>
      <c r="J18" s="18">
        <f>VLOOKUP($B18,'BaseLine Data'!$B9:$AS21,9,FALSE)</f>
        <v>0</v>
      </c>
      <c r="K18" s="18">
        <f>VLOOKUP($B18,'BaseLine Data'!$B9:$AS21,10,FALSE)</f>
        <v>0</v>
      </c>
      <c r="L18" s="18">
        <f>VLOOKUP($B18,'BaseLine Data'!$B9:$AS21,11,FALSE)</f>
        <v>0</v>
      </c>
      <c r="M18" s="18" t="str">
        <f>VLOOKUP($B18,'BaseLine Data'!$B9:$AS21,12,FALSE)</f>
        <v>Included</v>
      </c>
      <c r="N18" s="18">
        <f>VLOOKUP($B18,'BaseLine Data'!$B9:$AS21,13,FALSE)</f>
        <v>2032</v>
      </c>
      <c r="O18" s="18">
        <f>VLOOKUP($B18,'BaseLine Data'!$B9:$AS21,14,FALSE)</f>
        <v>2747</v>
      </c>
      <c r="P18" s="18">
        <f>VLOOKUP($B18,'BaseLine Data'!$B9:$AS21,15,FALSE)</f>
        <v>6711</v>
      </c>
      <c r="Q18" s="18">
        <f>VLOOKUP($B18,'BaseLine Data'!$B9:$AS21,16,FALSE)</f>
        <v>7798</v>
      </c>
      <c r="R18" s="18">
        <f>VLOOKUP($B18,'BaseLine Data'!$B9:$AS21,17,FALSE)</f>
        <v>0</v>
      </c>
      <c r="S18" s="18">
        <f>VLOOKUP($B18,'BaseLine Data'!$B9:$AS21,18,FALSE)</f>
        <v>34624</v>
      </c>
      <c r="T18" s="18">
        <f>VLOOKUP($B18,'BaseLine Data'!$B9:$AS21,19,FALSE)</f>
        <v>6155</v>
      </c>
      <c r="U18" s="18">
        <f>VLOOKUP($B18,'BaseLine Data'!$B9:$AS21,20,FALSE)</f>
        <v>473</v>
      </c>
      <c r="V18" s="30"/>
      <c r="W18" s="28">
        <f>U18*60*(1/S18)</f>
        <v>0.81966266173752311</v>
      </c>
      <c r="X18" s="29">
        <f t="shared" si="2"/>
        <v>0.91715094620771864</v>
      </c>
      <c r="Y18" s="28">
        <f t="shared" si="3"/>
        <v>6.0656578609899973E-2</v>
      </c>
      <c r="Z18" s="29">
        <f t="shared" si="4"/>
        <v>3.0290354330708662</v>
      </c>
      <c r="AA18" s="28">
        <f t="shared" si="5"/>
        <v>0.17218784128139789</v>
      </c>
      <c r="AB18" s="52" t="str">
        <f>VLOOKUP($B18,'BaseLine Data'!$B9:$AS21,31,FALSE)</f>
        <v>N</v>
      </c>
      <c r="AC18" s="52" t="str">
        <f>VLOOKUP($B18,'BaseLine Data'!$B9:$AS21,32,FALSE)</f>
        <v>N</v>
      </c>
      <c r="AD18" s="52" t="str">
        <f>VLOOKUP($B18,'BaseLine Data'!$B9:$AS21,33,FALSE)</f>
        <v>N</v>
      </c>
      <c r="AH18" s="47">
        <f t="shared" si="6"/>
        <v>0.81966266173752311</v>
      </c>
    </row>
    <row r="19" spans="1:34" ht="28">
      <c r="A19" s="17" t="s">
        <v>24</v>
      </c>
      <c r="B19" s="18" t="s">
        <v>30</v>
      </c>
      <c r="C19" s="18">
        <f>VLOOKUP($B19,'BaseLine Data'!$B9:$AS21,2,FALSE)</f>
        <v>1</v>
      </c>
      <c r="D19" s="18" t="str">
        <f>VLOOKUP($B19,'BaseLine Data'!$B9:$AT21,3,FALSE)</f>
        <v>Quincy</v>
      </c>
      <c r="E19" s="18">
        <f>VLOOKUP($B19,'BaseLine Data'!$B9:$AT21,4,FALSE)</f>
        <v>1808</v>
      </c>
      <c r="F19" s="18" t="str">
        <f>VLOOKUP($B19,'BaseLine Data'!$B9:$AT21,5,FALSE)</f>
        <v>bungalow</v>
      </c>
      <c r="G19" s="18">
        <f>VLOOKUP($B19,'BaseLine Data'!$B9:$AT21,6,FALSE)</f>
        <v>1.5</v>
      </c>
      <c r="H19" s="18">
        <f>VLOOKUP($B19,'BaseLine Data'!$B9:$AT21,7,FALSE)</f>
        <v>1905</v>
      </c>
      <c r="I19" s="18" t="str">
        <f>VLOOKUP($B19,'BaseLine Data'!$B9:$AT21,8,FALSE)</f>
        <v>Complete</v>
      </c>
      <c r="J19" s="18" t="str">
        <f>VLOOKUP($B19,'BaseLine Data'!$B9:$AT21,9,FALSE)</f>
        <v>Y</v>
      </c>
      <c r="K19" s="18" t="str">
        <f>VLOOKUP($B19,'BaseLine Data'!$B9:$AT21,10,FALSE)</f>
        <v>take-off from model</v>
      </c>
      <c r="L19" s="18" t="str">
        <f>VLOOKUP($B19,'BaseLine Data'!$B9:$AT21,11,FALSE)</f>
        <v>Included</v>
      </c>
      <c r="M19" s="18" t="str">
        <f>VLOOKUP($B19,'BaseLine Data'!$B9:$AT21,12,FALSE)</f>
        <v>Included</v>
      </c>
      <c r="N19" s="18">
        <f>VLOOKUP($B19,'BaseLine Data'!$B9:$AT21,13,FALSE)</f>
        <v>3484</v>
      </c>
      <c r="O19" s="18">
        <f>VLOOKUP($B19,'BaseLine Data'!$B9:$AT21,14,FALSE)</f>
        <v>4576</v>
      </c>
      <c r="P19" s="18">
        <f>VLOOKUP($B19,'BaseLine Data'!$B9:$AT21,15,FALSE)</f>
        <v>5340</v>
      </c>
      <c r="Q19" s="18">
        <f>VLOOKUP($B19,'BaseLine Data'!$B9:$AT21,16,FALSE)</f>
        <v>6806</v>
      </c>
      <c r="R19" s="18">
        <f>VLOOKUP($B19,'BaseLine Data'!$B9:$AT21,17,FALSE)</f>
        <v>16350</v>
      </c>
      <c r="S19" s="18">
        <f>VLOOKUP($B19,'BaseLine Data'!$B9:$AS21,18,FALSE)</f>
        <v>36346</v>
      </c>
      <c r="T19" s="18">
        <f>VLOOKUP($B19,'BaseLine Data'!$B9:$AS21,19,FALSE)</f>
        <v>5050</v>
      </c>
      <c r="U19" s="18">
        <f>VLOOKUP($B19,'BaseLine Data'!$B9:$AS21,20,FALSE)</f>
        <v>762</v>
      </c>
      <c r="V19" s="35">
        <v>18.53</v>
      </c>
      <c r="W19" s="28">
        <f>U19*60*(1/S19)</f>
        <v>1.2579100863919002</v>
      </c>
      <c r="X19" s="29">
        <f t="shared" si="2"/>
        <v>0.94569288389513106</v>
      </c>
      <c r="Y19" s="28">
        <f t="shared" si="3"/>
        <v>0.11196003526300323</v>
      </c>
      <c r="Z19" s="29">
        <f t="shared" si="4"/>
        <v>1.4494833524684272</v>
      </c>
      <c r="AA19" s="28">
        <f t="shared" si="5"/>
        <v>0.16652097902097901</v>
      </c>
      <c r="AB19" s="52" t="str">
        <f>VLOOKUP($B19,'BaseLine Data'!$B9:$AS21,31,FALSE)</f>
        <v>Y</v>
      </c>
      <c r="AC19" s="52" t="str">
        <f>VLOOKUP($B19,'BaseLine Data'!$B9:$AS21,32,FALSE)</f>
        <v>Y</v>
      </c>
      <c r="AD19" s="52" t="str">
        <f>VLOOKUP($B19,'BaseLine Data'!$B9:$AS21,33,FALSE)</f>
        <v>N</v>
      </c>
      <c r="AH19" s="47">
        <f t="shared" si="6"/>
        <v>1.2579100863919002</v>
      </c>
    </row>
    <row r="20" spans="1:34">
      <c r="A20" s="17" t="s">
        <v>24</v>
      </c>
      <c r="B20" s="18" t="s">
        <v>28</v>
      </c>
      <c r="C20" s="18">
        <f>VLOOKUP($B20,'BaseLine Data'!$B9:$AS21,2,FALSE)</f>
        <v>1</v>
      </c>
      <c r="D20" s="18" t="str">
        <f>VLOOKUP($B20,'BaseLine Data'!$B9:$AS21,3,FALSE)</f>
        <v>Millbury</v>
      </c>
      <c r="E20" s="18">
        <f>VLOOKUP($B20,'BaseLine Data'!$B9:$AS21,4,FALSE)</f>
        <v>1100</v>
      </c>
      <c r="F20" s="18">
        <f>VLOOKUP($B20,'BaseLine Data'!$B9:$AS21,4,FALSE)</f>
        <v>1100</v>
      </c>
      <c r="G20" s="18">
        <f>VLOOKUP($B20,'BaseLine Data'!$B9:$AS21,6,FALSE)</f>
        <v>1.5</v>
      </c>
      <c r="H20" s="18">
        <f>VLOOKUP($B20,'BaseLine Data'!$B9:$AS21,7,FALSE)</f>
        <v>1953</v>
      </c>
      <c r="I20" s="18" t="str">
        <f>VLOOKUP($B20,'BaseLine Data'!$B9:$AS21,8,FALSE)</f>
        <v>Complete</v>
      </c>
      <c r="J20" s="18" t="str">
        <f>VLOOKUP($B20,'BaseLine Data'!$B9:$AS21,9,FALSE)</f>
        <v>?</v>
      </c>
      <c r="K20" s="18">
        <f>VLOOKUP($B20,'BaseLine Data'!$B9:$AS21,10,FALSE)</f>
        <v>0</v>
      </c>
      <c r="L20" s="18" t="str">
        <f>VLOOKUP($B20,'BaseLine Data'!$B9:$AS21,11,FALSE)</f>
        <v>Included</v>
      </c>
      <c r="M20" s="18" t="str">
        <f>VLOOKUP($B20,'BaseLine Data'!$B9:$AS21,12,FALSE)</f>
        <v>Included</v>
      </c>
      <c r="N20" s="18">
        <f>VLOOKUP($B20,'BaseLine Data'!$B9:$AS21,13,FALSE)</f>
        <v>1868</v>
      </c>
      <c r="O20" s="18">
        <f>VLOOKUP($B20,'BaseLine Data'!$B9:$AS21,14,FALSE)</f>
        <v>1868</v>
      </c>
      <c r="P20" s="18">
        <f>VLOOKUP($B20,'BaseLine Data'!$B9:$AS21,15,FALSE)</f>
        <v>4278</v>
      </c>
      <c r="Q20" s="18">
        <f>VLOOKUP($B20,'BaseLine Data'!$B9:$AS21,16,FALSE)</f>
        <v>4278</v>
      </c>
      <c r="R20" s="18">
        <f>VLOOKUP($B20,'BaseLine Data'!$B9:$AS21,17,FALSE)</f>
        <v>17000</v>
      </c>
      <c r="S20" s="18">
        <f>VLOOKUP($B20,'BaseLine Data'!$B9:$AS21,18,FALSE)</f>
        <v>17000</v>
      </c>
      <c r="T20" s="18">
        <f>VLOOKUP($B20,'BaseLine Data'!$B9:$AS21,19,FALSE)</f>
        <v>2860</v>
      </c>
      <c r="U20" s="18">
        <f>VLOOKUP($B20,'BaseLine Data'!$B9:$AS21,20,FALSE)</f>
        <v>402</v>
      </c>
      <c r="V20" s="30">
        <f>T20*60*(1/R20)</f>
        <v>10.094117647058823</v>
      </c>
      <c r="W20" s="28">
        <f>U20*60*(1/S20)</f>
        <v>1.4188235294117648</v>
      </c>
      <c r="X20" s="29">
        <f t="shared" si="2"/>
        <v>0.66853669939223936</v>
      </c>
      <c r="Y20" s="28">
        <f t="shared" si="3"/>
        <v>9.3969144460028048E-2</v>
      </c>
      <c r="Z20" s="29">
        <f t="shared" si="4"/>
        <v>1.5310492505353319</v>
      </c>
      <c r="AA20" s="28">
        <f t="shared" si="5"/>
        <v>0.21520342612419699</v>
      </c>
      <c r="AB20" s="52" t="str">
        <f>VLOOKUP($B20,'BaseLine Data'!$B9:$AS21,31,FALSE)</f>
        <v>Y</v>
      </c>
      <c r="AC20" s="52" t="str">
        <f>VLOOKUP($B20,'BaseLine Data'!$B9:$AS21,32,FALSE)</f>
        <v>N</v>
      </c>
      <c r="AD20" s="52" t="str">
        <f>VLOOKUP($B20,'BaseLine Data'!$B9:$AS21,33,FALSE)</f>
        <v>N</v>
      </c>
      <c r="AH20" s="47">
        <f t="shared" si="6"/>
        <v>1.4188235294117648</v>
      </c>
    </row>
    <row r="21" spans="1:34">
      <c r="A21" s="17" t="s">
        <v>32</v>
      </c>
      <c r="B21" s="18" t="s">
        <v>33</v>
      </c>
      <c r="C21" s="18">
        <f>VLOOKUP($B21,'BaseLine Data'!$B9:$AS21,2,FALSE)</f>
        <v>1</v>
      </c>
      <c r="D21" s="18" t="str">
        <f>VLOOKUP($B21,'BaseLine Data'!$B9:$AS21,3,FALSE)</f>
        <v>Newton</v>
      </c>
      <c r="E21" s="18">
        <f>VLOOKUP($B21,'BaseLine Data'!$B9:$AS21,4,FALSE)</f>
        <v>1724</v>
      </c>
      <c r="F21" s="18" t="str">
        <f>VLOOKUP($B21,'BaseLine Data'!$B9:$AS21,5,FALSE)</f>
        <v>Colonial</v>
      </c>
      <c r="G21" s="18">
        <f>VLOOKUP($B21,'BaseLine Data'!$B9:$AS21,6,FALSE)</f>
        <v>1</v>
      </c>
      <c r="H21" s="18">
        <f>VLOOKUP($B21,'BaseLine Data'!$B9:$AS21,7,FALSE)</f>
        <v>1930</v>
      </c>
      <c r="I21" s="18" t="str">
        <f>VLOOKUP($B21,'BaseLine Data'!$B9:$AS21,8,FALSE)</f>
        <v>Complete</v>
      </c>
      <c r="J21" s="18" t="str">
        <f>VLOOKUP($B21,'BaseLine Data'!$B9:$AS21,9,FALSE)</f>
        <v>Y</v>
      </c>
      <c r="K21" s="18">
        <f>VLOOKUP($B21,'BaseLine Data'!$B9:$AS21,10,FALSE)</f>
        <v>0</v>
      </c>
      <c r="L21" s="18">
        <f>VLOOKUP($B21,'BaseLine Data'!$B9:$AS21,11,FALSE)</f>
        <v>0</v>
      </c>
      <c r="M21" s="18">
        <f>VLOOKUP($B21,'BaseLine Data'!$B9:$AS21,12,FALSE)</f>
        <v>0</v>
      </c>
      <c r="N21" s="18">
        <f>VLOOKUP($B21,'BaseLine Data'!$B9:$AS21,13,FALSE)</f>
        <v>1815</v>
      </c>
      <c r="O21" s="18">
        <f>VLOOKUP($B21,'BaseLine Data'!$B9:$AS21,14,FALSE)</f>
        <v>2199</v>
      </c>
      <c r="P21" s="18">
        <f>VLOOKUP($B21,'BaseLine Data'!$B9:$AS21,15,FALSE)</f>
        <v>3729</v>
      </c>
      <c r="Q21" s="18">
        <f>VLOOKUP($B21,'BaseLine Data'!$B9:$AS21,16,FALSE)</f>
        <v>4337</v>
      </c>
      <c r="R21" s="18">
        <f>VLOOKUP($B21,'BaseLine Data'!$B9:$AS21,17,FALSE)</f>
        <v>18831</v>
      </c>
      <c r="S21" s="18">
        <f>VLOOKUP($B21,'BaseLine Data'!$B9:$AS21,18,FALSE)</f>
        <v>21904</v>
      </c>
      <c r="T21" s="18">
        <f>VLOOKUP($B21,'BaseLine Data'!$B9:$AS21,19,FALSE)</f>
        <v>3199</v>
      </c>
      <c r="U21" s="18">
        <f>VLOOKUP($B21,'BaseLine Data'!$B9:$AS21,20,FALSE)</f>
        <v>1299</v>
      </c>
      <c r="V21" s="30">
        <f>T21*60*(1/R21)</f>
        <v>10.192767245499441</v>
      </c>
      <c r="W21" s="28">
        <f>U21*60*(1/S21)</f>
        <v>3.558254200146092</v>
      </c>
      <c r="X21" s="29">
        <f t="shared" si="2"/>
        <v>0.857870742826495</v>
      </c>
      <c r="Y21" s="28">
        <f t="shared" si="3"/>
        <v>0.29951579432787639</v>
      </c>
      <c r="Z21" s="29">
        <f t="shared" si="4"/>
        <v>1.7625344352617081</v>
      </c>
      <c r="AA21" s="28">
        <f t="shared" si="5"/>
        <v>0.59072305593451568</v>
      </c>
      <c r="AB21" s="52" t="str">
        <f>VLOOKUP($B21,'BaseLine Data'!$B9:$AS21,31,FALSE)</f>
        <v>Y</v>
      </c>
      <c r="AC21" s="52" t="str">
        <f>VLOOKUP($B21,'BaseLine Data'!$B9:$AS21,32,FALSE)</f>
        <v>N</v>
      </c>
      <c r="AD21" s="52" t="str">
        <f>VLOOKUP($B21,'BaseLine Data'!$B9:$AS21,33,FALSE)</f>
        <v>N</v>
      </c>
      <c r="AH21" s="47">
        <f t="shared" si="6"/>
        <v>3.558254200146092</v>
      </c>
    </row>
    <row r="23" spans="1:34">
      <c r="B23" s="51"/>
      <c r="O23" s="50"/>
      <c r="S23" t="s">
        <v>66</v>
      </c>
      <c r="U23" s="47"/>
      <c r="V23" s="45"/>
      <c r="W23" s="47">
        <f>AVERAGE(W9:W15)</f>
        <v>2.4692395567529166</v>
      </c>
      <c r="X23" s="45"/>
      <c r="Y23" s="47"/>
      <c r="AA23" s="45"/>
    </row>
    <row r="24" spans="1:34">
      <c r="B24" s="51"/>
      <c r="S24" t="s">
        <v>74</v>
      </c>
      <c r="U24" s="47"/>
      <c r="V24" s="47"/>
      <c r="W24" s="47">
        <f>MEDIAN(W9:W15)</f>
        <v>1.5007446442891512</v>
      </c>
      <c r="X24" s="47"/>
      <c r="Y24" s="47"/>
    </row>
    <row r="25" spans="1:34">
      <c r="B25" s="51"/>
      <c r="S25" t="s">
        <v>67</v>
      </c>
      <c r="U25" s="47"/>
      <c r="V25" s="45"/>
      <c r="W25" s="47">
        <f>AVERAGE(W9:W14)</f>
        <v>1.671254388436956</v>
      </c>
      <c r="X25" s="45"/>
      <c r="Y25" s="47"/>
    </row>
    <row r="26" spans="1:34">
      <c r="B26" s="51"/>
      <c r="S26" t="s">
        <v>98</v>
      </c>
      <c r="U26" s="47"/>
      <c r="V26" s="47"/>
      <c r="W26" s="47">
        <f>MEDIAN(W9:W14)</f>
        <v>1.4667140727660595</v>
      </c>
      <c r="X26" s="47"/>
      <c r="Y26" s="47"/>
    </row>
    <row r="27" spans="1:34">
      <c r="S27" t="s">
        <v>68</v>
      </c>
      <c r="W27" s="47">
        <f>AVERAGE(W16:W21)</f>
        <v>1.4003725917851522</v>
      </c>
    </row>
    <row r="28" spans="1:34">
      <c r="S28" t="s">
        <v>74</v>
      </c>
      <c r="W28" s="47">
        <f>MEDIAN(W16:W21)</f>
        <v>1.0387863740647116</v>
      </c>
    </row>
  </sheetData>
  <sortState ref="A9:AN21">
    <sortCondition descending="1" ref="AD9:AD21"/>
    <sortCondition ref="W9:W21"/>
  </sortState>
  <pageMargins left="0.7" right="0.7" top="0.75" bottom="0.75" header="0.3" footer="0.3"/>
  <pageSetup orientation="portrait"/>
  <drawing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'[1]Project Statistics'!#REF!</xm:f>
          </x14:formula1>
          <xm:sqref>WVN9:WVN21 JB9:JB21 SX9:SX21 ACT9:ACT21 AMP9:AMP21 AWL9:AWL21 BGH9:BGH21 BQD9:BQD21 BZZ9:BZZ21 CJV9:CJV21 CTR9:CTR21 DDN9:DDN21 DNJ9:DNJ21 DXF9:DXF21 EHB9:EHB21 EQX9:EQX21 FAT9:FAT21 FKP9:FKP21 FUL9:FUL21 GEH9:GEH21 GOD9:GOD21 GXZ9:GXZ21 HHV9:HHV21 HRR9:HRR21 IBN9:IBN21 ILJ9:ILJ21 IVF9:IVF21 JFB9:JFB21 JOX9:JOX21 JYT9:JYT21 KIP9:KIP21 KSL9:KSL21 LCH9:LCH21 LMD9:LMD21 LVZ9:LVZ21 MFV9:MFV21 MPR9:MPR21 MZN9:MZN21 NJJ9:NJJ21 NTF9:NTF21 ODB9:ODB21 OMX9:OMX21 OWT9:OWT21 PGP9:PGP21 PQL9:PQL21 QAH9:QAH21 QKD9:QKD21 QTZ9:QTZ21 RDV9:RDV21 RNR9:RNR21 RXN9:RXN21 SHJ9:SHJ21 SRF9:SRF21 TBB9:TBB21 TKX9:TKX21 TUT9:TUT21 UEP9:UEP21 UOL9:UOL21 UYH9:UYH21 VID9:VID21 VRZ9:VRZ21 WBV9:WBV21 WLR9:WLR21</xm:sqref>
        </x14:dataValidation>
        <x14:dataValidation type="list" allowBlank="1" showInputMessage="1" showErrorMessage="1">
          <x14:formula1>
            <xm:f>'[1]Project Statistics'!#REF!</xm:f>
          </x14:formula1>
          <xm:sqref>WVO9:WVP21 JC9:JD21 SY9:SZ21 ACU9:ACV21 AMQ9:AMR21 AWM9:AWN21 BGI9:BGJ21 BQE9:BQF21 CAA9:CAB21 CJW9:CJX21 CTS9:CTT21 DDO9:DDP21 DNK9:DNL21 DXG9:DXH21 EHC9:EHD21 EQY9:EQZ21 FAU9:FAV21 FKQ9:FKR21 FUM9:FUN21 GEI9:GEJ21 GOE9:GOF21 GYA9:GYB21 HHW9:HHX21 HRS9:HRT21 IBO9:IBP21 ILK9:ILL21 IVG9:IVH21 JFC9:JFD21 JOY9:JOZ21 JYU9:JYV21 KIQ9:KIR21 KSM9:KSN21 LCI9:LCJ21 LME9:LMF21 LWA9:LWB21 MFW9:MFX21 MPS9:MPT21 MZO9:MZP21 NJK9:NJL21 NTG9:NTH21 ODC9:ODD21 OMY9:OMZ21 OWU9:OWV21 PGQ9:PGR21 PQM9:PQN21 QAI9:QAJ21 QKE9:QKF21 QUA9:QUB21 RDW9:RDX21 RNS9:RNT21 RXO9:RXP21 SHK9:SHL21 SRG9:SRH21 TBC9:TBD21 TKY9:TKZ21 TUU9:TUV21 UEQ9:UER21 UOM9:UON21 UYI9:UYJ21 VIE9:VIF21 VSA9:VSB21 WBW9:WBX21 WLS9:WLT21</xm:sqref>
        </x14:dataValidation>
      </x14:dataValidations>
    </ex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7:AC34"/>
  <sheetViews>
    <sheetView tabSelected="1" topLeftCell="B23" workbookViewId="0">
      <pane xSplit="1" topLeftCell="H1" activePane="topRight" state="frozen"/>
      <selection activeCell="B1" sqref="B1"/>
      <selection pane="topRight" activeCell="O36" sqref="O36"/>
    </sheetView>
  </sheetViews>
  <sheetFormatPr baseColWidth="10" defaultColWidth="8.83203125" defaultRowHeight="14" x14ac:dyDescent="0"/>
  <cols>
    <col min="2" max="2" width="11.6640625" customWidth="1"/>
    <col min="3" max="3" width="8.6640625" customWidth="1"/>
    <col min="4" max="4" width="12.6640625" customWidth="1"/>
    <col min="6" max="6" width="11.5" customWidth="1"/>
    <col min="9" max="9" width="12.5" customWidth="1"/>
    <col min="11" max="11" width="12.5" customWidth="1"/>
    <col min="22" max="22" width="11.5" bestFit="1" customWidth="1"/>
  </cols>
  <sheetData>
    <row r="7" spans="1:29" ht="71" thickBot="1">
      <c r="B7" s="1" t="s">
        <v>0</v>
      </c>
      <c r="C7" s="18" t="str">
        <f>VLOOKUP($B7,'BaseLine Data'!$B7:$AS21,2,FALSE)</f>
        <v>Number of Housing Units</v>
      </c>
      <c r="D7" s="18" t="str">
        <f>VLOOKUP($B7,'BaseLine Data'!$B7:$AS21,3,FALSE)</f>
        <v>Location</v>
      </c>
      <c r="E7" s="18" t="str">
        <f>VLOOKUP($B7,'BaseLine Data'!$B7:$AS21,4,FALSE)</f>
        <v>Pre-DER Cond. Floor Area_x000D_(sq.ft.)</v>
      </c>
      <c r="F7" s="18" t="str">
        <f>VLOOKUP($B7,'BaseLine Data'!$B7:$AS21,5,FALSE)</f>
        <v>Building Type</v>
      </c>
      <c r="G7" s="18" t="str">
        <f>VLOOKUP($B7,'BaseLine Data'!$B7:$AS21,6,FALSE)</f>
        <v>Stories</v>
      </c>
      <c r="H7" s="18" t="str">
        <f>VLOOKUP($B7,'BaseLine Data'!$B7:$AS21,7,FALSE)</f>
        <v>Approx. Year Built</v>
      </c>
      <c r="I7" s="18" t="str">
        <f>VLOOKUP($B7,'BaseLine Data'!$B7:$AS21,8,FALSE)</f>
        <v>Status</v>
      </c>
      <c r="J7" s="18" t="str">
        <f>VLOOKUP($B7,'BaseLine Data'!$B7:$AS21,9,FALSE)</f>
        <v>Double checked numbers? (Y/N)</v>
      </c>
      <c r="K7" s="18" t="str">
        <f>VLOOKUP($B7,'BaseLine Data'!$B7:$AS21,10,FALSE)</f>
        <v>Source for Geometry Data</v>
      </c>
      <c r="L7" s="18" t="str">
        <f>VLOOKUP($B7,'BaseLine Data'!$B7:$AS21,11,FALSE)</f>
        <v>Pre-Retrofit Basement</v>
      </c>
      <c r="M7" s="18" t="str">
        <f>VLOOKUP($B7,'BaseLine Data'!$B7:$AS21,12,FALSE)</f>
        <v>Post Retrofit Basement</v>
      </c>
      <c r="N7" s="18" t="str">
        <f>VLOOKUP($B7,'BaseLine Data'!$B7:$AS21,13,FALSE)</f>
        <v>Pre-DER Cond. Floor Area_x000D_(sq.ft.)</v>
      </c>
      <c r="O7" s="18" t="str">
        <f>VLOOKUP($B7,'BaseLine Data'!$B7:$AS21,14,FALSE)</f>
        <v>Post-DER Con. Floor Area        (sq.ft.)</v>
      </c>
      <c r="P7" s="18" t="str">
        <f>VLOOKUP($B7,'BaseLine Data'!$B7:$AS21,15,FALSE)</f>
        <v>Pre-DER Enclosure Area (sf)</v>
      </c>
      <c r="Q7" s="18" t="str">
        <f>VLOOKUP($B7,'BaseLine Data'!$B7:$AS21,16,FALSE)</f>
        <v>Post-DER Enclosure Area (sf)</v>
      </c>
      <c r="R7" s="18" t="str">
        <f>VLOOKUP($B7,'BaseLine Data'!$B7:$AS21,17,FALSE)</f>
        <v>Pre-DER Volume (ft3)</v>
      </c>
      <c r="S7" s="18" t="str">
        <f>VLOOKUP($B7,'BaseLine Data'!$B7:$AS21,18,FALSE)</f>
        <v>Post-DER Volume (ft3)</v>
      </c>
      <c r="T7" s="18" t="str">
        <f>VLOOKUP($B7,'BaseLine Data'!$B7:$AS21,19,FALSE)</f>
        <v>Pre-DER   CFM 50</v>
      </c>
      <c r="U7" s="18" t="str">
        <f>VLOOKUP($B7,'BaseLine Data'!$B7:$AS21,20,FALSE)</f>
        <v>Post-DER CFM 50</v>
      </c>
      <c r="V7" s="18" t="str">
        <f>VLOOKUP($B7,'BaseLine Data'!$B7:$AS21,21,FALSE)</f>
        <v xml:space="preserve">Pre-DER   ACH 50 </v>
      </c>
      <c r="W7" s="18" t="str">
        <f>VLOOKUP($B7,'BaseLine Data'!$B7:$AS21,22,FALSE)</f>
        <v xml:space="preserve">Post-DER ACH 50 </v>
      </c>
      <c r="X7" s="18" t="str">
        <f>VLOOKUP($B7,'BaseLine Data'!$B7:$AS21,23,FALSE)</f>
        <v>Pre-DER   CFM 50 per Sq.Ft. of Enclosure</v>
      </c>
      <c r="Y7" s="18" t="str">
        <f>VLOOKUP($B7,'BaseLine Data'!$B7:$AS21,24,FALSE)</f>
        <v>Post-DER CFM 50 per Sq. Ft. of Enclosure</v>
      </c>
      <c r="Z7" s="18" t="str">
        <f>VLOOKUP($B7,'BaseLine Data'!$B7:$AS21,25,FALSE)</f>
        <v>Pre-DER CFM/sf Conditioned floor area</v>
      </c>
      <c r="AA7" s="18" t="str">
        <f>VLOOKUP($B7,'BaseLine Data'!$B7:$AS21,26,FALSE)</f>
        <v>Post-DER CFM/sf Conditioned floor area</v>
      </c>
      <c r="AB7" s="52" t="str">
        <f>VLOOKUP($B7,'BaseLine Data'!$B7:$AS21,29,FALSE)</f>
        <v>Roof Insulation:Exterior, Y/N</v>
      </c>
      <c r="AC7" s="52" t="str">
        <f>VLOOKUP($B7,'BaseLine Data'!$B7:$AS21,28,FALSE)</f>
        <v>Roof or Attic</v>
      </c>
    </row>
    <row r="8" spans="1:29" ht="52">
      <c r="A8" s="9"/>
      <c r="B8" s="10" t="s">
        <v>23</v>
      </c>
      <c r="C8" s="11"/>
      <c r="D8" s="11"/>
      <c r="E8" s="11"/>
      <c r="F8" s="11"/>
      <c r="G8" s="11"/>
      <c r="H8" s="11"/>
      <c r="I8" s="11"/>
      <c r="J8" s="11"/>
      <c r="K8" s="11"/>
      <c r="L8" s="11"/>
      <c r="M8" s="11"/>
      <c r="N8" s="12"/>
      <c r="O8" s="13"/>
      <c r="P8" s="12"/>
      <c r="Q8" s="13"/>
      <c r="R8" s="12"/>
      <c r="S8" s="14"/>
      <c r="T8" s="15"/>
      <c r="U8" s="15"/>
      <c r="V8" s="16"/>
      <c r="W8" s="14"/>
      <c r="X8" s="15"/>
      <c r="Y8" s="14"/>
      <c r="Z8" s="15"/>
      <c r="AA8" s="14"/>
      <c r="AB8" s="53"/>
    </row>
    <row r="9" spans="1:29">
      <c r="A9" s="17" t="s">
        <v>24</v>
      </c>
      <c r="B9" s="18" t="s">
        <v>40</v>
      </c>
      <c r="C9" s="18">
        <f>VLOOKUP($B9,'BaseLine Data'!$B9:$AS21,2,FALSE)</f>
        <v>1</v>
      </c>
      <c r="D9" s="18" t="str">
        <f>VLOOKUP($B9,'BaseLine Data'!$B9:$AS21,3,FALSE)</f>
        <v>Gloucester</v>
      </c>
      <c r="E9" s="18">
        <f>VLOOKUP($B9,'BaseLine Data'!$B9:$AS21,4,FALSE)</f>
        <v>2171</v>
      </c>
      <c r="F9" s="18" t="str">
        <f>VLOOKUP($B9,'BaseLine Data'!$B9:$AS21,5,FALSE)</f>
        <v>Single family</v>
      </c>
      <c r="G9" s="18">
        <f>VLOOKUP($B9,'BaseLine Data'!$B9:$AS21,6,FALSE)</f>
        <v>2</v>
      </c>
      <c r="H9" s="18">
        <f>VLOOKUP($B9,'BaseLine Data'!$B9:$AS21,7,FALSE)</f>
        <v>1920</v>
      </c>
      <c r="I9" s="18" t="str">
        <f>VLOOKUP($B9,'BaseLine Data'!$B9:$AS21,8,FALSE)</f>
        <v>Complete</v>
      </c>
      <c r="J9" s="18">
        <f>VLOOKUP($B9,'BaseLine Data'!$B9:$AS21,9,FALSE)</f>
        <v>0</v>
      </c>
      <c r="K9" s="18" t="str">
        <f>VLOOKUP($B9,'BaseLine Data'!$B9:$AS21,10,FALSE)</f>
        <v>application</v>
      </c>
      <c r="L9" s="18">
        <f>VLOOKUP($B9,'BaseLine Data'!$B9:$AS21,11,FALSE)</f>
        <v>0</v>
      </c>
      <c r="M9" s="18">
        <f>VLOOKUP($B9,'BaseLine Data'!$B9:$AS21,12,FALSE)</f>
        <v>0</v>
      </c>
      <c r="N9" s="18">
        <f>VLOOKUP($B9,'BaseLine Data'!$B9:$AS21,13,FALSE)</f>
        <v>2171</v>
      </c>
      <c r="O9" s="18">
        <f>VLOOKUP($B9,'BaseLine Data'!$B9:$AS21,14,FALSE)</f>
        <v>2424</v>
      </c>
      <c r="P9" s="18">
        <f>VLOOKUP($B9,'BaseLine Data'!$B9:$AS21,15,FALSE)</f>
        <v>5325</v>
      </c>
      <c r="Q9" s="18">
        <f>VLOOKUP($B9,'BaseLine Data'!$B9:$AS21,16,FALSE)</f>
        <v>6493</v>
      </c>
      <c r="R9" s="18">
        <f>VLOOKUP($B9,'BaseLine Data'!$B9:$AS21,17,FALSE)</f>
        <v>0</v>
      </c>
      <c r="S9" s="18">
        <f>VLOOKUP($B9,'BaseLine Data'!$B9:$AS21,18,FALSE)</f>
        <v>23285</v>
      </c>
      <c r="T9" s="18">
        <f>VLOOKUP($B9,'BaseLine Data'!$B9:$AS21,19,FALSE)</f>
        <v>2258</v>
      </c>
      <c r="U9" s="18">
        <f>VLOOKUP($B9,'BaseLine Data'!$B9:$AS21,20,FALSE)</f>
        <v>235</v>
      </c>
      <c r="V9" s="30" t="e">
        <f>T9*60*(1/R9)</f>
        <v>#DIV/0!</v>
      </c>
      <c r="W9" s="30">
        <f>U9*60*(1/S9)</f>
        <v>0.60554004724071286</v>
      </c>
      <c r="X9" s="39">
        <f t="shared" ref="X9:X21" si="0">T9/P9</f>
        <v>0.42403755868544601</v>
      </c>
      <c r="Y9" s="46">
        <f t="shared" ref="Y9:Y21" si="1">U9/Q9</f>
        <v>3.6192823040197136E-2</v>
      </c>
      <c r="Z9" s="39">
        <f t="shared" ref="Z9:Z21" si="2">T9/N9</f>
        <v>1.0400736987563335</v>
      </c>
      <c r="AA9" s="37">
        <f t="shared" ref="AA9:AA21" si="3">U9/O9</f>
        <v>9.6947194719471941E-2</v>
      </c>
      <c r="AB9" s="52" t="str">
        <f>VLOOKUP($B9,'BaseLine Data'!$B9:$AS21,29,FALSE)</f>
        <v>Y</v>
      </c>
      <c r="AC9" s="52" t="str">
        <f>VLOOKUP($B9,'BaseLine Data'!$B9:$AS21,28,FALSE)</f>
        <v>R</v>
      </c>
    </row>
    <row r="10" spans="1:29" ht="28">
      <c r="A10" s="17" t="s">
        <v>24</v>
      </c>
      <c r="B10" s="24" t="s">
        <v>27</v>
      </c>
      <c r="C10" s="18">
        <f>VLOOKUP($B10,'BaseLine Data'!$B9:$AS21,2,FALSE)</f>
        <v>2</v>
      </c>
      <c r="D10" s="18" t="str">
        <f>VLOOKUP($B10,'BaseLine Data'!$B9:$AS21,3,FALSE)</f>
        <v>Belmont</v>
      </c>
      <c r="E10" s="18">
        <f>VLOOKUP($B10,'BaseLine Data'!$B9:$AS21,4,FALSE)</f>
        <v>2728</v>
      </c>
      <c r="F10" s="18" t="str">
        <f>VLOOKUP($B10,'BaseLine Data'!$B9:$AS21,5,FALSE)</f>
        <v>2 family</v>
      </c>
      <c r="G10" s="18">
        <f>VLOOKUP($B10,'BaseLine Data'!$B9:$AS21,6,FALSE)</f>
        <v>3</v>
      </c>
      <c r="H10" s="18">
        <f>VLOOKUP($B10,'BaseLine Data'!$B9:$AS21,7,FALSE)</f>
        <v>1925</v>
      </c>
      <c r="I10" s="18" t="str">
        <f>VLOOKUP($B10,'BaseLine Data'!$B9:$AS21,8,FALSE)</f>
        <v>Complete</v>
      </c>
      <c r="J10" s="18" t="str">
        <f>VLOOKUP($B10,'BaseLine Data'!$B9:$AS21,9,FALSE)</f>
        <v>Y</v>
      </c>
      <c r="K10" s="18">
        <f>VLOOKUP($B10,'BaseLine Data'!$B9:$AS21,10,FALSE)</f>
        <v>0</v>
      </c>
      <c r="L10" s="18" t="str">
        <f>VLOOKUP($B10,'BaseLine Data'!$B9:$AS21,11,FALSE)</f>
        <v>Excluded</v>
      </c>
      <c r="M10" s="18" t="str">
        <f>VLOOKUP($B10,'BaseLine Data'!$B9:$AS21,12,FALSE)</f>
        <v>Included</v>
      </c>
      <c r="N10" s="18">
        <f>VLOOKUP($B10,'BaseLine Data'!$B9:$AS21,13,FALSE)</f>
        <v>3417</v>
      </c>
      <c r="O10" s="18">
        <f>VLOOKUP($B10,'BaseLine Data'!$B9:$AS21,14,FALSE)</f>
        <v>4768</v>
      </c>
      <c r="P10" s="18">
        <f>VLOOKUP($B10,'BaseLine Data'!$B9:$AS21,15,FALSE)</f>
        <v>7468</v>
      </c>
      <c r="Q10" s="18">
        <f>VLOOKUP($B10,'BaseLine Data'!$B9:$AS21,16,FALSE)</f>
        <v>9093</v>
      </c>
      <c r="R10" s="18">
        <f>VLOOKUP($B10,'BaseLine Data'!$B9:$AS21,17,FALSE)</f>
        <v>36898</v>
      </c>
      <c r="S10" s="18">
        <f>VLOOKUP($B10,'BaseLine Data'!$B9:$AS21,18,FALSE)</f>
        <v>47706</v>
      </c>
      <c r="T10" s="18">
        <f>VLOOKUP($B10,'BaseLine Data'!$B9:$AS21,19,FALSE)</f>
        <v>5700</v>
      </c>
      <c r="U10" s="18">
        <f>VLOOKUP($B10,'BaseLine Data'!$B9:$AS21,20,FALSE)</f>
        <v>590</v>
      </c>
      <c r="V10" s="30">
        <f>T10*60*(1/R10)</f>
        <v>9.2687950566426363</v>
      </c>
      <c r="W10" s="30">
        <f>U10*60*(1/S10)</f>
        <v>0.74204502578292031</v>
      </c>
      <c r="X10" s="21">
        <f t="shared" si="0"/>
        <v>0.76325656132833419</v>
      </c>
      <c r="Y10" s="22">
        <f t="shared" si="1"/>
        <v>6.4885076432420544E-2</v>
      </c>
      <c r="Z10" s="21">
        <f t="shared" si="2"/>
        <v>1.6681299385425812</v>
      </c>
      <c r="AA10" s="22">
        <f t="shared" si="3"/>
        <v>0.12374161073825503</v>
      </c>
      <c r="AB10" s="52" t="str">
        <f>VLOOKUP($B10,'BaseLine Data'!$B9:$AS21,29,FALSE)</f>
        <v>Y</v>
      </c>
      <c r="AC10" s="52" t="str">
        <f>VLOOKUP($B10,'BaseLine Data'!$B9:$AS21,28,FALSE)</f>
        <v>R</v>
      </c>
    </row>
    <row r="11" spans="1:29">
      <c r="A11" s="17" t="s">
        <v>24</v>
      </c>
      <c r="B11" s="18" t="s">
        <v>35</v>
      </c>
      <c r="C11" s="18">
        <f>VLOOKUP($B11,'BaseLine Data'!$B9:$AS21,2,FALSE)</f>
        <v>1</v>
      </c>
      <c r="D11" s="18" t="str">
        <f>VLOOKUP($B11,'BaseLine Data'!$B9:$AS21,3,FALSE)</f>
        <v>Northampton</v>
      </c>
      <c r="E11" s="18">
        <f>VLOOKUP($B11,'BaseLine Data'!$B9:$AS21,4,FALSE)</f>
        <v>2032</v>
      </c>
      <c r="F11" s="18" t="str">
        <f>VLOOKUP($B11,'BaseLine Data'!$B9:$AS21,5,FALSE)</f>
        <v>Victorian</v>
      </c>
      <c r="G11" s="18">
        <f>VLOOKUP($B11,'BaseLine Data'!$B9:$AS21,6,FALSE)</f>
        <v>1</v>
      </c>
      <c r="H11" s="18">
        <f>VLOOKUP($B11,'BaseLine Data'!$B9:$AS21,7,FALSE)</f>
        <v>1859</v>
      </c>
      <c r="I11" s="18" t="str">
        <f>VLOOKUP($B11,'BaseLine Data'!$B9:$AS21,8,FALSE)</f>
        <v>Complete</v>
      </c>
      <c r="J11" s="18">
        <f>VLOOKUP($B11,'BaseLine Data'!$B9:$AS21,9,FALSE)</f>
        <v>0</v>
      </c>
      <c r="K11" s="18">
        <f>VLOOKUP($B11,'BaseLine Data'!$B9:$AS21,10,FALSE)</f>
        <v>0</v>
      </c>
      <c r="L11" s="18">
        <f>VLOOKUP($B11,'BaseLine Data'!$B9:$AS21,11,FALSE)</f>
        <v>0</v>
      </c>
      <c r="M11" s="18" t="str">
        <f>VLOOKUP($B11,'BaseLine Data'!$B9:$AS21,12,FALSE)</f>
        <v>Included</v>
      </c>
      <c r="N11" s="18">
        <f>VLOOKUP($B11,'BaseLine Data'!$B9:$AS21,13,FALSE)</f>
        <v>2032</v>
      </c>
      <c r="O11" s="18">
        <f>VLOOKUP($B11,'BaseLine Data'!$B9:$AS21,14,FALSE)</f>
        <v>2747</v>
      </c>
      <c r="P11" s="18">
        <f>VLOOKUP($B11,'BaseLine Data'!$B9:$AS21,15,FALSE)</f>
        <v>6711</v>
      </c>
      <c r="Q11" s="18">
        <f>VLOOKUP($B11,'BaseLine Data'!$B9:$AS21,16,FALSE)</f>
        <v>7798</v>
      </c>
      <c r="R11" s="18">
        <f>VLOOKUP($B11,'BaseLine Data'!$B9:$AS21,17,FALSE)</f>
        <v>0</v>
      </c>
      <c r="S11" s="18">
        <f>VLOOKUP($B11,'BaseLine Data'!$B9:$AS21,18,FALSE)</f>
        <v>34624</v>
      </c>
      <c r="T11" s="18">
        <f>VLOOKUP($B11,'BaseLine Data'!$B9:$AS21,19,FALSE)</f>
        <v>6155</v>
      </c>
      <c r="U11" s="18">
        <f>VLOOKUP($B11,'BaseLine Data'!$B9:$AS21,20,FALSE)</f>
        <v>473</v>
      </c>
      <c r="V11" s="30"/>
      <c r="W11" s="28">
        <f t="shared" ref="W11:W21" si="4">U11*60*(1/S11)</f>
        <v>0.81966266173752311</v>
      </c>
      <c r="X11" s="29">
        <f t="shared" si="0"/>
        <v>0.91715094620771864</v>
      </c>
      <c r="Y11" s="28">
        <f t="shared" si="1"/>
        <v>6.0656578609899973E-2</v>
      </c>
      <c r="Z11" s="29">
        <f t="shared" si="2"/>
        <v>3.0290354330708662</v>
      </c>
      <c r="AA11" s="28">
        <f t="shared" si="3"/>
        <v>0.17218784128139789</v>
      </c>
      <c r="AB11" s="52" t="str">
        <f>VLOOKUP($B11,'BaseLine Data'!$B9:$AS21,29,FALSE)</f>
        <v>Y</v>
      </c>
      <c r="AC11" s="52" t="str">
        <f>VLOOKUP($B11,'BaseLine Data'!$B9:$AS21,28,FALSE)</f>
        <v>R</v>
      </c>
    </row>
    <row r="12" spans="1:29" ht="28">
      <c r="A12" s="17" t="s">
        <v>24</v>
      </c>
      <c r="B12" s="18" t="s">
        <v>30</v>
      </c>
      <c r="C12" s="18">
        <f>VLOOKUP($B12,'BaseLine Data'!$B9:$AS21,2,FALSE)</f>
        <v>1</v>
      </c>
      <c r="D12" s="18" t="str">
        <f>VLOOKUP($B12,'BaseLine Data'!$B9:$AT21,3,FALSE)</f>
        <v>Quincy</v>
      </c>
      <c r="E12" s="18">
        <f>VLOOKUP($B12,'BaseLine Data'!$B9:$AT21,4,FALSE)</f>
        <v>1808</v>
      </c>
      <c r="F12" s="18" t="str">
        <f>VLOOKUP($B12,'BaseLine Data'!$B9:$AT21,5,FALSE)</f>
        <v>bungalow</v>
      </c>
      <c r="G12" s="18">
        <f>VLOOKUP($B12,'BaseLine Data'!$B9:$AT21,6,FALSE)</f>
        <v>1.5</v>
      </c>
      <c r="H12" s="18">
        <f>VLOOKUP($B12,'BaseLine Data'!$B9:$AT21,7,FALSE)</f>
        <v>1905</v>
      </c>
      <c r="I12" s="18" t="str">
        <f>VLOOKUP($B12,'BaseLine Data'!$B9:$AT21,8,FALSE)</f>
        <v>Complete</v>
      </c>
      <c r="J12" s="18" t="str">
        <f>VLOOKUP($B12,'BaseLine Data'!$B9:$AT21,9,FALSE)</f>
        <v>Y</v>
      </c>
      <c r="K12" s="18" t="str">
        <f>VLOOKUP($B12,'BaseLine Data'!$B9:$AT21,10,FALSE)</f>
        <v>take-off from model</v>
      </c>
      <c r="L12" s="18" t="str">
        <f>VLOOKUP($B12,'BaseLine Data'!$B9:$AT21,11,FALSE)</f>
        <v>Included</v>
      </c>
      <c r="M12" s="18" t="str">
        <f>VLOOKUP($B12,'BaseLine Data'!$B9:$AT21,12,FALSE)</f>
        <v>Included</v>
      </c>
      <c r="N12" s="18">
        <f>VLOOKUP($B12,'BaseLine Data'!$B9:$AT21,13,FALSE)</f>
        <v>3484</v>
      </c>
      <c r="O12" s="18">
        <f>VLOOKUP($B12,'BaseLine Data'!$B9:$AT21,14,FALSE)</f>
        <v>4576</v>
      </c>
      <c r="P12" s="18">
        <f>VLOOKUP($B12,'BaseLine Data'!$B9:$AT21,15,FALSE)</f>
        <v>5340</v>
      </c>
      <c r="Q12" s="18">
        <f>VLOOKUP($B12,'BaseLine Data'!$B9:$AT21,16,FALSE)</f>
        <v>6806</v>
      </c>
      <c r="R12" s="18">
        <f>VLOOKUP($B12,'BaseLine Data'!$B9:$AT21,17,FALSE)</f>
        <v>16350</v>
      </c>
      <c r="S12" s="18">
        <f>VLOOKUP($B12,'BaseLine Data'!$B9:$AS21,18,FALSE)</f>
        <v>36346</v>
      </c>
      <c r="T12" s="18">
        <f>VLOOKUP($B12,'BaseLine Data'!$B9:$AS21,19,FALSE)</f>
        <v>5050</v>
      </c>
      <c r="U12" s="18">
        <f>VLOOKUP($B12,'BaseLine Data'!$B9:$AS21,20,FALSE)</f>
        <v>762</v>
      </c>
      <c r="V12" s="35">
        <v>18.53</v>
      </c>
      <c r="W12" s="28">
        <f t="shared" si="4"/>
        <v>1.2579100863919002</v>
      </c>
      <c r="X12" s="29">
        <f t="shared" si="0"/>
        <v>0.94569288389513106</v>
      </c>
      <c r="Y12" s="28">
        <f t="shared" si="1"/>
        <v>0.11196003526300323</v>
      </c>
      <c r="Z12" s="29">
        <f t="shared" si="2"/>
        <v>1.4494833524684272</v>
      </c>
      <c r="AA12" s="28">
        <f t="shared" si="3"/>
        <v>0.16652097902097901</v>
      </c>
      <c r="AB12" s="52" t="str">
        <f>VLOOKUP($B12,'BaseLine Data'!$B9:$AS21,29,FALSE)</f>
        <v>Y</v>
      </c>
      <c r="AC12" s="52" t="str">
        <f>VLOOKUP($B12,'BaseLine Data'!$B9:$AS21,28,FALSE)</f>
        <v>R</v>
      </c>
    </row>
    <row r="13" spans="1:29">
      <c r="A13" s="17" t="s">
        <v>24</v>
      </c>
      <c r="B13" s="18" t="s">
        <v>28</v>
      </c>
      <c r="C13" s="18">
        <f>VLOOKUP($B13,'BaseLine Data'!$B9:$AS21,2,FALSE)</f>
        <v>1</v>
      </c>
      <c r="D13" s="18" t="str">
        <f>VLOOKUP($B13,'BaseLine Data'!$B9:$AS21,3,FALSE)</f>
        <v>Millbury</v>
      </c>
      <c r="E13" s="18">
        <f>VLOOKUP($B13,'BaseLine Data'!$B9:$AS21,4,FALSE)</f>
        <v>1100</v>
      </c>
      <c r="F13" s="18">
        <f>VLOOKUP($B13,'BaseLine Data'!$B9:$AS21,4,FALSE)</f>
        <v>1100</v>
      </c>
      <c r="G13" s="18">
        <f>VLOOKUP($B13,'BaseLine Data'!$B9:$AS21,6,FALSE)</f>
        <v>1.5</v>
      </c>
      <c r="H13" s="18">
        <f>VLOOKUP($B13,'BaseLine Data'!$B9:$AS21,7,FALSE)</f>
        <v>1953</v>
      </c>
      <c r="I13" s="18" t="str">
        <f>VLOOKUP($B13,'BaseLine Data'!$B9:$AS21,8,FALSE)</f>
        <v>Complete</v>
      </c>
      <c r="J13" s="18" t="str">
        <f>VLOOKUP($B13,'BaseLine Data'!$B9:$AS21,9,FALSE)</f>
        <v>?</v>
      </c>
      <c r="K13" s="18">
        <f>VLOOKUP($B13,'BaseLine Data'!$B9:$AS21,10,FALSE)</f>
        <v>0</v>
      </c>
      <c r="L13" s="18" t="str">
        <f>VLOOKUP($B13,'BaseLine Data'!$B9:$AS21,11,FALSE)</f>
        <v>Included</v>
      </c>
      <c r="M13" s="18" t="str">
        <f>VLOOKUP($B13,'BaseLine Data'!$B9:$AS21,12,FALSE)</f>
        <v>Included</v>
      </c>
      <c r="N13" s="18">
        <f>VLOOKUP($B13,'BaseLine Data'!$B9:$AS21,13,FALSE)</f>
        <v>1868</v>
      </c>
      <c r="O13" s="18">
        <f>VLOOKUP($B13,'BaseLine Data'!$B9:$AS21,14,FALSE)</f>
        <v>1868</v>
      </c>
      <c r="P13" s="18">
        <f>VLOOKUP($B13,'BaseLine Data'!$B9:$AS21,15,FALSE)</f>
        <v>4278</v>
      </c>
      <c r="Q13" s="18">
        <f>VLOOKUP($B13,'BaseLine Data'!$B9:$AS21,16,FALSE)</f>
        <v>4278</v>
      </c>
      <c r="R13" s="18">
        <f>VLOOKUP($B13,'BaseLine Data'!$B9:$AS21,17,FALSE)</f>
        <v>17000</v>
      </c>
      <c r="S13" s="18">
        <f>VLOOKUP($B13,'BaseLine Data'!$B9:$AS21,18,FALSE)</f>
        <v>17000</v>
      </c>
      <c r="T13" s="18">
        <f>VLOOKUP($B13,'BaseLine Data'!$B9:$AS21,19,FALSE)</f>
        <v>2860</v>
      </c>
      <c r="U13" s="18">
        <f>VLOOKUP($B13,'BaseLine Data'!$B9:$AS21,20,FALSE)</f>
        <v>402</v>
      </c>
      <c r="V13" s="36">
        <f t="shared" ref="V13:V21" si="5">T13*60*(1/R13)</f>
        <v>10.094117647058823</v>
      </c>
      <c r="W13" s="28">
        <f t="shared" si="4"/>
        <v>1.4188235294117648</v>
      </c>
      <c r="X13" s="29">
        <f t="shared" si="0"/>
        <v>0.66853669939223936</v>
      </c>
      <c r="Y13" s="28">
        <f t="shared" si="1"/>
        <v>9.3969144460028048E-2</v>
      </c>
      <c r="Z13" s="29">
        <f t="shared" si="2"/>
        <v>1.5310492505353319</v>
      </c>
      <c r="AA13" s="28">
        <f t="shared" si="3"/>
        <v>0.21520342612419699</v>
      </c>
      <c r="AB13" s="52" t="str">
        <f>VLOOKUP($B13,'BaseLine Data'!$B9:$AS21,29,FALSE)</f>
        <v>Y</v>
      </c>
      <c r="AC13" s="52" t="str">
        <f>VLOOKUP($B13,'BaseLine Data'!$B9:$AS21,28,FALSE)</f>
        <v>R</v>
      </c>
    </row>
    <row r="14" spans="1:29">
      <c r="A14" s="17" t="s">
        <v>32</v>
      </c>
      <c r="B14" s="18" t="s">
        <v>33</v>
      </c>
      <c r="C14" s="18">
        <f>VLOOKUP($B14,'BaseLine Data'!$B9:$AS21,2,FALSE)</f>
        <v>1</v>
      </c>
      <c r="D14" s="18" t="str">
        <f>VLOOKUP($B14,'BaseLine Data'!$B9:$AS21,3,FALSE)</f>
        <v>Newton</v>
      </c>
      <c r="E14" s="18">
        <f>VLOOKUP($B14,'BaseLine Data'!$B9:$AS21,4,FALSE)</f>
        <v>1724</v>
      </c>
      <c r="F14" s="18" t="str">
        <f>VLOOKUP($B14,'BaseLine Data'!$B9:$AS21,5,FALSE)</f>
        <v>Colonial</v>
      </c>
      <c r="G14" s="18">
        <f>VLOOKUP($B14,'BaseLine Data'!$B9:$AS21,6,FALSE)</f>
        <v>1</v>
      </c>
      <c r="H14" s="18">
        <f>VLOOKUP($B14,'BaseLine Data'!$B9:$AS21,7,FALSE)</f>
        <v>1930</v>
      </c>
      <c r="I14" s="18" t="str">
        <f>VLOOKUP($B14,'BaseLine Data'!$B9:$AS21,8,FALSE)</f>
        <v>Complete</v>
      </c>
      <c r="J14" s="18" t="str">
        <f>VLOOKUP($B14,'BaseLine Data'!$B9:$AS21,9,FALSE)</f>
        <v>Y</v>
      </c>
      <c r="K14" s="18">
        <f>VLOOKUP($B14,'BaseLine Data'!$B9:$AS21,10,FALSE)</f>
        <v>0</v>
      </c>
      <c r="L14" s="18">
        <f>VLOOKUP($B14,'BaseLine Data'!$B9:$AS21,11,FALSE)</f>
        <v>0</v>
      </c>
      <c r="M14" s="18">
        <f>VLOOKUP($B14,'BaseLine Data'!$B9:$AS21,12,FALSE)</f>
        <v>0</v>
      </c>
      <c r="N14" s="18">
        <f>VLOOKUP($B14,'BaseLine Data'!$B9:$AS21,13,FALSE)</f>
        <v>1815</v>
      </c>
      <c r="O14" s="18">
        <f>VLOOKUP($B14,'BaseLine Data'!$B9:$AS21,14,FALSE)</f>
        <v>2199</v>
      </c>
      <c r="P14" s="18">
        <f>VLOOKUP($B14,'BaseLine Data'!$B9:$AS21,15,FALSE)</f>
        <v>3729</v>
      </c>
      <c r="Q14" s="18">
        <f>VLOOKUP($B14,'BaseLine Data'!$B9:$AS21,16,FALSE)</f>
        <v>4337</v>
      </c>
      <c r="R14" s="18">
        <f>VLOOKUP($B14,'BaseLine Data'!$B9:$AS21,17,FALSE)</f>
        <v>18831</v>
      </c>
      <c r="S14" s="18">
        <f>VLOOKUP($B14,'BaseLine Data'!$B9:$AS21,18,FALSE)</f>
        <v>21904</v>
      </c>
      <c r="T14" s="18">
        <f>VLOOKUP($B14,'BaseLine Data'!$B9:$AS21,19,FALSE)</f>
        <v>3199</v>
      </c>
      <c r="U14" s="18">
        <f>VLOOKUP($B14,'BaseLine Data'!$B9:$AS21,20,FALSE)</f>
        <v>1299</v>
      </c>
      <c r="V14" s="30">
        <f t="shared" si="5"/>
        <v>10.192767245499441</v>
      </c>
      <c r="W14" s="28">
        <f t="shared" si="4"/>
        <v>3.558254200146092</v>
      </c>
      <c r="X14" s="29">
        <f t="shared" si="0"/>
        <v>0.857870742826495</v>
      </c>
      <c r="Y14" s="28">
        <f t="shared" si="1"/>
        <v>0.29951579432787639</v>
      </c>
      <c r="Z14" s="31">
        <f t="shared" si="2"/>
        <v>1.7625344352617081</v>
      </c>
      <c r="AA14" s="32">
        <f t="shared" si="3"/>
        <v>0.59072305593451568</v>
      </c>
      <c r="AB14" s="52" t="str">
        <f>VLOOKUP($B14,'BaseLine Data'!$B9:$AS21,29,FALSE)</f>
        <v>Y</v>
      </c>
      <c r="AC14" s="52" t="str">
        <f>VLOOKUP($B14,'BaseLine Data'!$B9:$AS21,28,FALSE)</f>
        <v>R</v>
      </c>
    </row>
    <row r="15" spans="1:29">
      <c r="A15" s="17" t="s">
        <v>24</v>
      </c>
      <c r="B15" s="18" t="s">
        <v>38</v>
      </c>
      <c r="C15" s="18">
        <f>VLOOKUP($B15,'BaseLine Data'!$B9:$AS21,2,FALSE)</f>
        <v>1</v>
      </c>
      <c r="D15" s="18" t="str">
        <f>VLOOKUP($B15,'BaseLine Data'!$B9:$AS21,3,FALSE)</f>
        <v>Westford</v>
      </c>
      <c r="E15" s="18">
        <f>VLOOKUP($B15,'BaseLine Data'!$B9:$AS21,4,FALSE)</f>
        <v>2906</v>
      </c>
      <c r="F15" s="18" t="str">
        <f>VLOOKUP($B15,'BaseLine Data'!$B9:$AS21,5,FALSE)</f>
        <v>Colonial</v>
      </c>
      <c r="G15" s="18">
        <f>VLOOKUP($B15,'BaseLine Data'!$B9:$AS21,6,FALSE)</f>
        <v>2</v>
      </c>
      <c r="H15" s="18">
        <f>VLOOKUP($B15,'BaseLine Data'!$B9:$AS21,7,FALSE)</f>
        <v>1993</v>
      </c>
      <c r="I15" s="18" t="str">
        <f>VLOOKUP($B15,'BaseLine Data'!$B9:$AS21,8,FALSE)</f>
        <v>Complete</v>
      </c>
      <c r="J15" s="18">
        <f>VLOOKUP($B15,'BaseLine Data'!$B9:$AS21,9,FALSE)</f>
        <v>0</v>
      </c>
      <c r="K15" s="18" t="str">
        <f>VLOOKUP($B15,'BaseLine Data'!$B9:$AS21,10,FALSE)</f>
        <v>application</v>
      </c>
      <c r="L15" s="18">
        <f>VLOOKUP($B15,'BaseLine Data'!$B9:$AS21,11,FALSE)</f>
        <v>0</v>
      </c>
      <c r="M15" s="18">
        <f>VLOOKUP($B15,'BaseLine Data'!$B9:$AS21,12,FALSE)</f>
        <v>0</v>
      </c>
      <c r="N15" s="18">
        <f>VLOOKUP($B15,'BaseLine Data'!$B9:$AS21,13,FALSE)</f>
        <v>2906</v>
      </c>
      <c r="O15" s="18">
        <f>VLOOKUP($B15,'BaseLine Data'!$B9:$AS21,14,FALSE)</f>
        <v>3955</v>
      </c>
      <c r="P15" s="18">
        <f>VLOOKUP($B15,'BaseLine Data'!$B9:$AS21,15,FALSE)</f>
        <v>7325</v>
      </c>
      <c r="Q15" s="18">
        <f>VLOOKUP($B15,'BaseLine Data'!$B9:$AS21,16,FALSE)</f>
        <v>9538</v>
      </c>
      <c r="R15" s="18">
        <f>VLOOKUP($B15,'BaseLine Data'!$B9:$AS21,17,FALSE)</f>
        <v>32226</v>
      </c>
      <c r="S15" s="18">
        <f>VLOOKUP($B15,'BaseLine Data'!$B9:$AS21,18,FALSE)</f>
        <v>44475</v>
      </c>
      <c r="T15" s="18">
        <f>VLOOKUP($B15,'BaseLine Data'!$B9:$AS21,19,FALSE)</f>
        <v>2592</v>
      </c>
      <c r="U15" s="18">
        <f>VLOOKUP($B15,'BaseLine Data'!$B9:$AS21,20,FALSE)</f>
        <v>930</v>
      </c>
      <c r="V15" s="30">
        <f t="shared" si="5"/>
        <v>4.8259169614596908</v>
      </c>
      <c r="W15" s="28">
        <f t="shared" si="4"/>
        <v>1.2546374367622262</v>
      </c>
      <c r="X15" s="29">
        <f t="shared" si="0"/>
        <v>0.35385665529010241</v>
      </c>
      <c r="Y15" s="34">
        <f t="shared" si="1"/>
        <v>9.7504717970224364E-2</v>
      </c>
      <c r="Z15" s="29">
        <f t="shared" si="2"/>
        <v>0.89194769442532695</v>
      </c>
      <c r="AA15" s="28">
        <f t="shared" si="3"/>
        <v>0.23514538558786346</v>
      </c>
      <c r="AB15" s="52" t="str">
        <f>VLOOKUP($B15,'BaseLine Data'!$B9:$AS21,29,FALSE)</f>
        <v>N</v>
      </c>
      <c r="AC15" s="52" t="str">
        <f>VLOOKUP($B15,'BaseLine Data'!$B9:$AS21,28,FALSE)</f>
        <v>R</v>
      </c>
    </row>
    <row r="16" spans="1:29" ht="28">
      <c r="A16" s="17" t="s">
        <v>24</v>
      </c>
      <c r="B16" s="18" t="s">
        <v>29</v>
      </c>
      <c r="C16" s="18">
        <f>VLOOKUP($B16,'BaseLine Data'!$B9:$AS21,2,FALSE)</f>
        <v>1</v>
      </c>
      <c r="D16" s="18" t="str">
        <f>VLOOKUP($B16,'BaseLine Data'!$B9:$AS21,3,FALSE)</f>
        <v>Milton</v>
      </c>
      <c r="E16" s="18">
        <f>VLOOKUP($B16,'BaseLine Data'!$B9:$AS21,4,FALSE)</f>
        <v>1600</v>
      </c>
      <c r="F16" s="18" t="str">
        <f>VLOOKUP($B16,'BaseLine Data'!$B9:$AS21,5,FALSE)</f>
        <v>Garrison Colonial</v>
      </c>
      <c r="G16" s="18">
        <f>VLOOKUP($B16,'BaseLine Data'!$B9:$AS21,6,FALSE)</f>
        <v>2</v>
      </c>
      <c r="H16" s="18">
        <f>VLOOKUP($B16,'BaseLine Data'!$B9:$AS21,7,FALSE)</f>
        <v>1960</v>
      </c>
      <c r="I16" s="18" t="str">
        <f>VLOOKUP($B16,'BaseLine Data'!$B9:$AS21,8,FALSE)</f>
        <v>Complete</v>
      </c>
      <c r="J16" s="18" t="str">
        <f>VLOOKUP($B16,'BaseLine Data'!$B9:$AS21,9,FALSE)</f>
        <v>Y</v>
      </c>
      <c r="K16" s="18" t="str">
        <f>VLOOKUP($B16,'BaseLine Data'!$B9:$AS21,10,FALSE)</f>
        <v>take-off from drawings</v>
      </c>
      <c r="L16" s="18" t="str">
        <f>VLOOKUP($B16,'BaseLine Data'!$B9:$AS21,11,FALSE)</f>
        <v>Included</v>
      </c>
      <c r="M16" s="18" t="str">
        <f>VLOOKUP($B16,'BaseLine Data'!$B9:$AS21,12,FALSE)</f>
        <v>Included</v>
      </c>
      <c r="N16" s="18">
        <f>VLOOKUP($B16,'BaseLine Data'!$B9:$AS21,13,FALSE)</f>
        <v>2368</v>
      </c>
      <c r="O16" s="18">
        <f>VLOOKUP($B16,'BaseLine Data'!$B9:$AS21,14,FALSE)</f>
        <v>2368</v>
      </c>
      <c r="P16" s="18">
        <f>VLOOKUP($B16,'BaseLine Data'!$B9:$AS21,15,FALSE)</f>
        <v>3408</v>
      </c>
      <c r="Q16" s="18">
        <f>VLOOKUP($B16,'BaseLine Data'!$B9:$AS21,16,FALSE)</f>
        <v>3740</v>
      </c>
      <c r="R16" s="18">
        <f>VLOOKUP($B16,'BaseLine Data'!$B9:$AS21,17,FALSE)</f>
        <v>22457.599999999999</v>
      </c>
      <c r="S16" s="18">
        <f>VLOOKUP($B16,'BaseLine Data'!$B9:$AS21,18,FALSE)</f>
        <v>24457.599999999999</v>
      </c>
      <c r="T16" s="18">
        <f>VLOOKUP($B16,'BaseLine Data'!$B9:$AS21,19,FALSE)</f>
        <v>1695</v>
      </c>
      <c r="U16" s="18">
        <f>VLOOKUP($B16,'BaseLine Data'!$B9:$AS21,20,FALSE)</f>
        <v>584</v>
      </c>
      <c r="V16" s="30">
        <f t="shared" si="5"/>
        <v>4.5285337703049304</v>
      </c>
      <c r="W16" s="28">
        <f t="shared" si="4"/>
        <v>1.4326835012429675</v>
      </c>
      <c r="X16" s="29">
        <f t="shared" si="0"/>
        <v>0.49735915492957744</v>
      </c>
      <c r="Y16" s="28">
        <f t="shared" si="1"/>
        <v>0.15614973262032086</v>
      </c>
      <c r="Z16" s="29">
        <f t="shared" si="2"/>
        <v>0.71579391891891897</v>
      </c>
      <c r="AA16" s="28">
        <f t="shared" si="3"/>
        <v>0.24662162162162163</v>
      </c>
      <c r="AB16" s="52" t="str">
        <f>VLOOKUP($B16,'BaseLine Data'!$B9:$AS21,29,FALSE)</f>
        <v>N</v>
      </c>
      <c r="AC16" s="52" t="str">
        <f>VLOOKUP($B16,'BaseLine Data'!$B9:$AS21,28,FALSE)</f>
        <v>R</v>
      </c>
    </row>
    <row r="17" spans="1:29">
      <c r="A17" s="17" t="s">
        <v>24</v>
      </c>
      <c r="B17" s="18" t="s">
        <v>37</v>
      </c>
      <c r="C17" s="18">
        <f>VLOOKUP($B17,'BaseLine Data'!$B9:$AS21,2,FALSE)</f>
        <v>1</v>
      </c>
      <c r="D17" s="18" t="str">
        <f>VLOOKUP($B17,'BaseLine Data'!$B9:$AS21,3,FALSE)</f>
        <v>Brookline</v>
      </c>
      <c r="E17" s="18">
        <f>VLOOKUP($B17,'BaseLine Data'!$B9:$AS21,4,FALSE)</f>
        <v>2284</v>
      </c>
      <c r="F17" s="18" t="str">
        <f>VLOOKUP($B17,'BaseLine Data'!$B9:$AS21,5,FALSE)</f>
        <v>Victorian</v>
      </c>
      <c r="G17" s="18">
        <f>VLOOKUP($B17,'BaseLine Data'!$B9:$AS21,6,FALSE)</f>
        <v>3</v>
      </c>
      <c r="H17" s="18">
        <f>VLOOKUP($B17,'BaseLine Data'!$B9:$AS21,7,FALSE)</f>
        <v>1899</v>
      </c>
      <c r="I17" s="18" t="str">
        <f>VLOOKUP($B17,'BaseLine Data'!$B9:$AS21,8,FALSE)</f>
        <v>Complete</v>
      </c>
      <c r="J17" s="18">
        <f>VLOOKUP($B17,'BaseLine Data'!$B9:$AS21,9,FALSE)</f>
        <v>0</v>
      </c>
      <c r="K17" s="18">
        <f>VLOOKUP($B17,'BaseLine Data'!$B9:$AS21,10,FALSE)</f>
        <v>0</v>
      </c>
      <c r="L17" s="18">
        <f>VLOOKUP($B17,'BaseLine Data'!$B9:$AS21,11,FALSE)</f>
        <v>0</v>
      </c>
      <c r="M17" s="18">
        <f>VLOOKUP($B17,'BaseLine Data'!$B9:$AS21,12,FALSE)</f>
        <v>0</v>
      </c>
      <c r="N17" s="18">
        <f>VLOOKUP($B17,'BaseLine Data'!$B9:$AS21,13,FALSE)</f>
        <v>3078</v>
      </c>
      <c r="O17" s="18">
        <f>VLOOKUP($B17,'BaseLine Data'!$B9:$AS21,14,FALSE)</f>
        <v>3174</v>
      </c>
      <c r="P17" s="18">
        <f>VLOOKUP($B17,'BaseLine Data'!$B9:$AS21,15,FALSE)</f>
        <v>5794</v>
      </c>
      <c r="Q17" s="18">
        <f>VLOOKUP($B17,'BaseLine Data'!$B9:$AS21,16,FALSE)</f>
        <v>5924</v>
      </c>
      <c r="R17" s="18">
        <f>VLOOKUP($B17,'BaseLine Data'!$B9:$AS21,17,FALSE)</f>
        <v>26187</v>
      </c>
      <c r="S17" s="18">
        <f>VLOOKUP($B17,'BaseLine Data'!$B9:$AS21,18,FALSE)</f>
        <v>26187</v>
      </c>
      <c r="T17" s="18">
        <f>VLOOKUP($B17,'BaseLine Data'!$B9:$AS21,19,FALSE)</f>
        <v>1640</v>
      </c>
      <c r="U17" s="18">
        <f>VLOOKUP($B17,'BaseLine Data'!$B9:$AS21,20,FALSE)</f>
        <v>655</v>
      </c>
      <c r="V17" s="30">
        <f t="shared" si="5"/>
        <v>3.7575896437163481</v>
      </c>
      <c r="W17" s="28">
        <f t="shared" si="4"/>
        <v>1.5007446442891512</v>
      </c>
      <c r="X17" s="29">
        <f t="shared" si="0"/>
        <v>0.28305143251639625</v>
      </c>
      <c r="Y17" s="28">
        <f t="shared" si="1"/>
        <v>0.11056718433490885</v>
      </c>
      <c r="Z17" s="29">
        <f t="shared" si="2"/>
        <v>0.53281351526965559</v>
      </c>
      <c r="AA17" s="28">
        <f t="shared" si="3"/>
        <v>0.20636420919974796</v>
      </c>
      <c r="AB17" s="52" t="str">
        <f>VLOOKUP($B17,'BaseLine Data'!$B9:$AS21,29,FALSE)</f>
        <v>N</v>
      </c>
      <c r="AC17" s="52" t="str">
        <f>VLOOKUP($B17,'BaseLine Data'!$B9:$AS21,28,FALSE)</f>
        <v>R</v>
      </c>
    </row>
    <row r="18" spans="1:29">
      <c r="A18" s="17" t="s">
        <v>24</v>
      </c>
      <c r="B18" s="18" t="s">
        <v>25</v>
      </c>
      <c r="C18" s="18">
        <f>VLOOKUP($B18,'BaseLine Data'!$B9:$AS21,2,FALSE)</f>
        <v>1</v>
      </c>
      <c r="D18" s="18" t="str">
        <f>VLOOKUP($B18,'BaseLine Data'!$B9:$AS21,3,FALSE)</f>
        <v>Belchertown</v>
      </c>
      <c r="E18" s="18">
        <f>VLOOKUP($B18,'BaseLine Data'!$B9:$AS21,4,FALSE)</f>
        <v>1352</v>
      </c>
      <c r="F18" s="18" t="str">
        <f>VLOOKUP($B18,'BaseLine Data'!$B9:$AS21,5,FALSE)</f>
        <v>Cape</v>
      </c>
      <c r="G18" s="18">
        <f>VLOOKUP($B18,'BaseLine Data'!$B9:$AS21,6,FALSE)</f>
        <v>1.5</v>
      </c>
      <c r="H18" s="18">
        <f>VLOOKUP($B18,'BaseLine Data'!$B9:$AS21,7,FALSE)</f>
        <v>1760</v>
      </c>
      <c r="I18" s="18" t="str">
        <f>VLOOKUP($B18,'BaseLine Data'!$B9:$AS21,8,FALSE)</f>
        <v>Complete</v>
      </c>
      <c r="J18" s="18" t="str">
        <f>VLOOKUP($B18,'BaseLine Data'!$B9:$AS21,9,FALSE)</f>
        <v>Y</v>
      </c>
      <c r="K18" s="18" t="str">
        <f>VLOOKUP($B18,'BaseLine Data'!$B9:$AS21,10,FALSE)</f>
        <v>W.A.G.</v>
      </c>
      <c r="L18" s="18" t="str">
        <f>VLOOKUP($B18,'BaseLine Data'!$B9:$AS21,11,FALSE)</f>
        <v>Excluded</v>
      </c>
      <c r="M18" s="18" t="str">
        <f>VLOOKUP($B18,'BaseLine Data'!$B9:$AS21,12,FALSE)</f>
        <v>Included</v>
      </c>
      <c r="N18" s="18">
        <f>VLOOKUP($B18,'BaseLine Data'!$B9:$AS21,13,FALSE)</f>
        <v>1435</v>
      </c>
      <c r="O18" s="18">
        <f>VLOOKUP($B18,'BaseLine Data'!$B9:$AS21,14,FALSE)</f>
        <v>1907</v>
      </c>
      <c r="P18" s="18">
        <f>VLOOKUP($B18,'BaseLine Data'!$B9:$AS21,15,FALSE)</f>
        <v>3726</v>
      </c>
      <c r="Q18" s="18">
        <f>VLOOKUP($B18,'BaseLine Data'!$B9:$AS21,16,FALSE)</f>
        <v>4066</v>
      </c>
      <c r="R18" s="18">
        <f>VLOOKUP($B18,'BaseLine Data'!$B9:$AS21,17,FALSE)</f>
        <v>9448</v>
      </c>
      <c r="S18" s="18">
        <f>VLOOKUP($B18,'BaseLine Data'!$B9:$AS21,18,FALSE)</f>
        <v>14972</v>
      </c>
      <c r="T18" s="18">
        <f>VLOOKUP($B18,'BaseLine Data'!$B9:$AS21,19,FALSE)</f>
        <v>9079</v>
      </c>
      <c r="U18" s="18">
        <f>VLOOKUP($B18,'BaseLine Data'!$B9:$AS21,20,FALSE)</f>
        <v>468</v>
      </c>
      <c r="V18" s="30">
        <f t="shared" si="5"/>
        <v>57.656646909398809</v>
      </c>
      <c r="W18" s="28">
        <f t="shared" si="4"/>
        <v>1.8755009350788139</v>
      </c>
      <c r="X18" s="38">
        <f t="shared" si="0"/>
        <v>2.4366612989801397</v>
      </c>
      <c r="Y18" s="40">
        <f t="shared" si="1"/>
        <v>0.11510083620265617</v>
      </c>
      <c r="Z18" s="38">
        <f t="shared" si="2"/>
        <v>6.3268292682926832</v>
      </c>
      <c r="AA18" s="40">
        <f t="shared" si="3"/>
        <v>0.2454116413214473</v>
      </c>
      <c r="AB18" s="52" t="str">
        <f>VLOOKUP($B18,'BaseLine Data'!$B9:$AS21,29,FALSE)</f>
        <v>N</v>
      </c>
      <c r="AC18" s="52" t="str">
        <f>VLOOKUP($B18,'BaseLine Data'!$B9:$AS21,28,FALSE)</f>
        <v>R</v>
      </c>
    </row>
    <row r="19" spans="1:29" ht="28">
      <c r="A19" s="17" t="s">
        <v>24</v>
      </c>
      <c r="B19" s="18" t="s">
        <v>31</v>
      </c>
      <c r="C19" s="18">
        <f>VLOOKUP($B19,'BaseLine Data'!$B9:$AS21,2,FALSE)</f>
        <v>2</v>
      </c>
      <c r="D19" s="18" t="str">
        <f>VLOOKUP($B19,'BaseLine Data'!$B9:$AS21,3,FALSE)</f>
        <v>Arlington</v>
      </c>
      <c r="E19" s="18">
        <f>VLOOKUP($B19,'BaseLine Data'!$B9:$AS21,4,FALSE)</f>
        <v>2112</v>
      </c>
      <c r="F19" s="18" t="str">
        <f>VLOOKUP($B19,'BaseLine Data'!$B9:$AS21,5,FALSE)</f>
        <v>2 family</v>
      </c>
      <c r="G19" s="18">
        <f>VLOOKUP($B19,'BaseLine Data'!$B9:$AS21,6,FALSE)</f>
        <v>2</v>
      </c>
      <c r="H19" s="18">
        <f>VLOOKUP($B19,'BaseLine Data'!$B9:$AS21,7,FALSE)</f>
        <v>1910</v>
      </c>
      <c r="I19" s="18" t="str">
        <f>VLOOKUP($B19,'BaseLine Data'!$B9:$AS21,8,FALSE)</f>
        <v>Complete</v>
      </c>
      <c r="J19" s="18">
        <f>VLOOKUP($B19,'BaseLine Data'!$B9:$AS21,9,FALSE)</f>
        <v>0</v>
      </c>
      <c r="K19" s="18" t="str">
        <f>VLOOKUP($B19,'BaseLine Data'!$B9:$AS21,10,FALSE)</f>
        <v>take-off from drawings</v>
      </c>
      <c r="L19" s="18" t="str">
        <f>VLOOKUP($B19,'BaseLine Data'!$B9:$AS21,11,FALSE)</f>
        <v>Excluded</v>
      </c>
      <c r="M19" s="18" t="str">
        <f>VLOOKUP($B19,'BaseLine Data'!$B9:$AS21,12,FALSE)</f>
        <v>Excluded</v>
      </c>
      <c r="N19" s="18">
        <f>VLOOKUP($B19,'BaseLine Data'!$B9:$AS21,13,FALSE)</f>
        <v>2502</v>
      </c>
      <c r="O19" s="18">
        <f>VLOOKUP($B19,'BaseLine Data'!$B9:$AS21,14,FALSE)</f>
        <v>3627</v>
      </c>
      <c r="P19" s="18">
        <f>VLOOKUP($B19,'BaseLine Data'!$B9:$AS21,15,FALSE)</f>
        <v>5153</v>
      </c>
      <c r="Q19" s="18">
        <f>VLOOKUP($B19,'BaseLine Data'!$B9:$AS21,16,FALSE)</f>
        <v>5925</v>
      </c>
      <c r="R19" s="18">
        <f>VLOOKUP($B19,'BaseLine Data'!$B9:$AS21,17,FALSE)</f>
        <v>20157</v>
      </c>
      <c r="S19" s="18">
        <f>VLOOKUP($B19,'BaseLine Data'!$B9:$AS21,18,FALSE)</f>
        <v>29648</v>
      </c>
      <c r="T19" s="18">
        <f>VLOOKUP($B19,'BaseLine Data'!$B9:$AS21,19,FALSE)</f>
        <v>8730</v>
      </c>
      <c r="U19" s="18">
        <f>VLOOKUP($B19,'BaseLine Data'!$B9:$AS21,20,FALSE)</f>
        <v>3586</v>
      </c>
      <c r="V19" s="30">
        <f t="shared" si="5"/>
        <v>25.986009822890313</v>
      </c>
      <c r="W19" s="28">
        <f t="shared" si="4"/>
        <v>7.2571505666486775</v>
      </c>
      <c r="X19" s="29">
        <f t="shared" si="0"/>
        <v>1.6941587424801088</v>
      </c>
      <c r="Y19" s="28">
        <f t="shared" si="1"/>
        <v>0.60523206751054848</v>
      </c>
      <c r="Z19" s="29">
        <f t="shared" si="2"/>
        <v>3.4892086330935252</v>
      </c>
      <c r="AA19" s="28">
        <f t="shared" si="3"/>
        <v>0.98869589192169838</v>
      </c>
      <c r="AB19" s="52" t="str">
        <f>VLOOKUP($B19,'BaseLine Data'!$B9:$AS21,29,FALSE)</f>
        <v>N</v>
      </c>
      <c r="AC19" s="52" t="str">
        <f>VLOOKUP($B19,'BaseLine Data'!$B9:$AS21,28,FALSE)</f>
        <v>R</v>
      </c>
    </row>
    <row r="20" spans="1:29" ht="70">
      <c r="A20" s="17" t="s">
        <v>24</v>
      </c>
      <c r="B20" s="18" t="s">
        <v>36</v>
      </c>
      <c r="C20" s="18">
        <f>VLOOKUP($B20,'BaseLine Data'!$B9:$AS21,2,FALSE)</f>
        <v>1</v>
      </c>
      <c r="D20" s="18" t="str">
        <f>VLOOKUP($B20,'BaseLine Data'!$B9:$AS21,3,FALSE)</f>
        <v>Lancaster</v>
      </c>
      <c r="E20" s="18">
        <f>VLOOKUP($B20,'BaseLine Data'!$B9:$AS21,4,FALSE)</f>
        <v>908</v>
      </c>
      <c r="F20" s="18" t="str">
        <f>VLOOKUP($B20,'BaseLine Data'!$B9:$AS21,5,FALSE)</f>
        <v>Cape to Colonial</v>
      </c>
      <c r="G20" s="18">
        <f>VLOOKUP($B20,'BaseLine Data'!$B9:$AS21,6,FALSE)</f>
        <v>2</v>
      </c>
      <c r="H20" s="18">
        <f>VLOOKUP($B20,'BaseLine Data'!$B9:$AS21,7,FALSE)</f>
        <v>1900</v>
      </c>
      <c r="I20" s="18" t="str">
        <f>VLOOKUP($B20,'BaseLine Data'!$B9:$AS21,8,FALSE)</f>
        <v>Complete</v>
      </c>
      <c r="J20" s="18" t="str">
        <f>VLOOKUP($B20,'BaseLine Data'!$B9:$AS21,9,FALSE)</f>
        <v>Y</v>
      </c>
      <c r="K20" s="18">
        <f>VLOOKUP($B20,'BaseLine Data'!$B9:$AS21,10,FALSE)</f>
        <v>0</v>
      </c>
      <c r="L20" s="18">
        <f>VLOOKUP($B20,'BaseLine Data'!$B9:$AS21,11,FALSE)</f>
        <v>0</v>
      </c>
      <c r="M20" s="18">
        <f>VLOOKUP($B20,'BaseLine Data'!$B9:$AS21,12,FALSE)</f>
        <v>0</v>
      </c>
      <c r="N20" s="18">
        <f>VLOOKUP($B20,'BaseLine Data'!$B9:$AS21,13,FALSE)</f>
        <v>980</v>
      </c>
      <c r="O20" s="18">
        <f>VLOOKUP($B20,'BaseLine Data'!$B9:$AS21,14,FALSE)</f>
        <v>1440</v>
      </c>
      <c r="P20" s="18">
        <f>VLOOKUP($B20,'BaseLine Data'!$B9:$AS21,15,FALSE)</f>
        <v>2583</v>
      </c>
      <c r="Q20" s="18">
        <f>VLOOKUP($B20,'BaseLine Data'!$B9:$AS21,16,FALSE)</f>
        <v>3222</v>
      </c>
      <c r="R20" s="18">
        <f>VLOOKUP($B20,'BaseLine Data'!$B9:$AS21,17,FALSE)</f>
        <v>7080</v>
      </c>
      <c r="S20" s="18">
        <f>VLOOKUP($B20,'BaseLine Data'!$B9:$AS21,18,FALSE)</f>
        <v>12336</v>
      </c>
      <c r="T20" s="18">
        <f>VLOOKUP($B20,'BaseLine Data'!$B9:$AS21,19,FALSE)</f>
        <v>4254</v>
      </c>
      <c r="U20" s="18">
        <f>VLOOKUP($B20,'BaseLine Data'!$B9:$AS21,20,FALSE)</f>
        <v>293</v>
      </c>
      <c r="V20" s="30">
        <f t="shared" si="5"/>
        <v>36.050847457627121</v>
      </c>
      <c r="W20" s="28">
        <f t="shared" si="4"/>
        <v>1.4250972762645915</v>
      </c>
      <c r="X20" s="29">
        <f t="shared" si="0"/>
        <v>1.6469221835075494</v>
      </c>
      <c r="Y20" s="28">
        <f t="shared" si="1"/>
        <v>9.0937306021104905E-2</v>
      </c>
      <c r="Z20" s="29">
        <f t="shared" si="2"/>
        <v>4.3408163265306126</v>
      </c>
      <c r="AA20" s="28">
        <f t="shared" si="3"/>
        <v>0.20347222222222222</v>
      </c>
      <c r="AB20" s="52" t="str">
        <f>VLOOKUP($B20,'BaseLine Data'!$B9:$AS21,29,FALSE)</f>
        <v>N</v>
      </c>
      <c r="AC20" s="52" t="str">
        <f>VLOOKUP($B20,'BaseLine Data'!$B9:$AS21,28,FALSE)</f>
        <v>A</v>
      </c>
    </row>
    <row r="21" spans="1:29">
      <c r="A21" s="17" t="s">
        <v>24</v>
      </c>
      <c r="B21" s="18" t="s">
        <v>34</v>
      </c>
      <c r="C21" s="18">
        <f>VLOOKUP($B21,'BaseLine Data'!$B9:$AS21,2,FALSE)</f>
        <v>3</v>
      </c>
      <c r="D21" s="18" t="str">
        <f>VLOOKUP($B21,'BaseLine Data'!$B9:$AS21,3,FALSE)</f>
        <v>Jamaica Plain</v>
      </c>
      <c r="E21" s="18">
        <f>VLOOKUP($B21,'BaseLine Data'!$B9:$AS21,4,FALSE)</f>
        <v>3885</v>
      </c>
      <c r="F21" s="18" t="str">
        <f>VLOOKUP($B21,'BaseLine Data'!$B9:$AS21,5,FALSE)</f>
        <v>3-family</v>
      </c>
      <c r="G21" s="18">
        <f>VLOOKUP($B21,'BaseLine Data'!$B9:$AS21,6,FALSE)</f>
        <v>3</v>
      </c>
      <c r="H21" s="18">
        <f>VLOOKUP($B21,'BaseLine Data'!$B9:$AS21,7,FALSE)</f>
        <v>1907</v>
      </c>
      <c r="I21" s="18" t="str">
        <f>VLOOKUP($B21,'BaseLine Data'!$B9:$AS21,8,FALSE)</f>
        <v>Complete</v>
      </c>
      <c r="J21" s="18">
        <f>VLOOKUP($B21,'BaseLine Data'!$B9:$AS21,9,FALSE)</f>
        <v>0</v>
      </c>
      <c r="K21" s="18">
        <f>VLOOKUP($B21,'BaseLine Data'!$B9:$AS21,10,FALSE)</f>
        <v>0</v>
      </c>
      <c r="L21" s="18">
        <f>VLOOKUP($B21,'BaseLine Data'!$B9:$AS21,11,FALSE)</f>
        <v>0</v>
      </c>
      <c r="M21" s="18">
        <f>VLOOKUP($B21,'BaseLine Data'!$B9:$AS21,12,FALSE)</f>
        <v>0</v>
      </c>
      <c r="N21" s="18">
        <f>VLOOKUP($B21,'BaseLine Data'!$B9:$AS21,13,FALSE)</f>
        <v>3885</v>
      </c>
      <c r="O21" s="18">
        <f>VLOOKUP($B21,'BaseLine Data'!$B9:$AS21,14,FALSE)</f>
        <v>3885</v>
      </c>
      <c r="P21" s="18">
        <f>VLOOKUP($B21,'BaseLine Data'!$B9:$AS21,15,FALSE)</f>
        <v>6308</v>
      </c>
      <c r="Q21" s="18">
        <f>VLOOKUP($B21,'BaseLine Data'!$B9:$AS21,16,FALSE)</f>
        <v>7456</v>
      </c>
      <c r="R21" s="18">
        <f>VLOOKUP($B21,'BaseLine Data'!$B9:$AS21,17,FALSE)</f>
        <v>42586</v>
      </c>
      <c r="S21" s="18">
        <f>VLOOKUP($B21,'BaseLine Data'!$B9:$AS21,18,FALSE)</f>
        <v>42586</v>
      </c>
      <c r="T21" s="18">
        <f>VLOOKUP($B21,'BaseLine Data'!$B9:$AS21,19,FALSE)</f>
        <v>7729</v>
      </c>
      <c r="U21" s="18">
        <f>VLOOKUP($B21,'BaseLine Data'!$B9:$AS21,20,FALSE)</f>
        <v>1802</v>
      </c>
      <c r="V21" s="30">
        <f t="shared" si="5"/>
        <v>10.889494199971821</v>
      </c>
      <c r="W21" s="28">
        <f t="shared" si="4"/>
        <v>2.5388625369839852</v>
      </c>
      <c r="X21" s="29">
        <f t="shared" si="0"/>
        <v>1.2252694990488269</v>
      </c>
      <c r="Y21" s="28">
        <f t="shared" si="1"/>
        <v>0.24168454935622319</v>
      </c>
      <c r="Z21" s="29">
        <f t="shared" si="2"/>
        <v>1.9894465894465894</v>
      </c>
      <c r="AA21" s="28">
        <f t="shared" si="3"/>
        <v>0.46383526383526386</v>
      </c>
      <c r="AB21" s="52" t="str">
        <f>VLOOKUP($B21,'BaseLine Data'!$B9:$AS21,29,FALSE)</f>
        <v>N</v>
      </c>
      <c r="AC21" s="52" t="str">
        <f>VLOOKUP($B21,'BaseLine Data'!$B9:$AS21,28,FALSE)</f>
        <v>A</v>
      </c>
    </row>
    <row r="23" spans="1:29">
      <c r="B23" s="51"/>
      <c r="O23" s="50"/>
      <c r="R23" t="s">
        <v>102</v>
      </c>
      <c r="V23" s="47">
        <f>AVERAGE(W9:W19)</f>
        <v>1.9748138758847953</v>
      </c>
      <c r="W23" s="47"/>
      <c r="X23" s="45"/>
      <c r="Y23" s="47"/>
      <c r="AA23" s="45"/>
    </row>
    <row r="24" spans="1:29">
      <c r="B24" s="51"/>
      <c r="R24" t="s">
        <v>103</v>
      </c>
      <c r="V24" s="47">
        <f>MEDIAN(W9:W19)</f>
        <v>1.4188235294117648</v>
      </c>
      <c r="W24" s="47"/>
      <c r="X24" s="47"/>
      <c r="Y24" s="47"/>
    </row>
    <row r="25" spans="1:29">
      <c r="B25" s="51"/>
      <c r="G25" t="s">
        <v>72</v>
      </c>
      <c r="I25" s="47"/>
      <c r="J25" s="45"/>
      <c r="K25" s="47">
        <f>AVERAGEA(W9:W14)</f>
        <v>1.4003725917851522</v>
      </c>
      <c r="R25" t="s">
        <v>71</v>
      </c>
      <c r="V25" s="47">
        <f>AVERAGE(W20:W21)</f>
        <v>1.9819799066242885</v>
      </c>
      <c r="X25" s="45"/>
      <c r="Y25" s="47"/>
    </row>
    <row r="26" spans="1:29">
      <c r="B26" s="51"/>
      <c r="G26" t="s">
        <v>74</v>
      </c>
      <c r="I26" s="47"/>
      <c r="J26" s="47"/>
      <c r="K26" s="47">
        <f>MEDIAN(W9:W14)</f>
        <v>1.0387863740647116</v>
      </c>
      <c r="R26" t="s">
        <v>82</v>
      </c>
      <c r="V26" s="47">
        <f>MEDIAN(W20:W21)</f>
        <v>1.9819799066242885</v>
      </c>
      <c r="X26" s="47"/>
      <c r="Y26" s="47"/>
    </row>
    <row r="27" spans="1:29">
      <c r="G27" t="s">
        <v>81</v>
      </c>
      <c r="K27" s="47">
        <f>AVERAGE(W15:W18)</f>
        <v>1.5158916293432898</v>
      </c>
      <c r="R27" t="s">
        <v>72</v>
      </c>
      <c r="T27" s="47"/>
      <c r="U27" s="45"/>
      <c r="V27" s="47">
        <f>AVERAGEA(W9:W14)</f>
        <v>1.4003725917851522</v>
      </c>
    </row>
    <row r="28" spans="1:29">
      <c r="G28" t="s">
        <v>100</v>
      </c>
      <c r="K28" s="47">
        <f>MEDIAN(W15:W18)</f>
        <v>1.4667140727660595</v>
      </c>
      <c r="R28" t="s">
        <v>104</v>
      </c>
      <c r="T28" s="47"/>
      <c r="U28" s="47"/>
      <c r="V28" s="47">
        <f>MEDIAN(W9:W14)</f>
        <v>1.0387863740647116</v>
      </c>
    </row>
    <row r="29" spans="1:29">
      <c r="G29" t="s">
        <v>71</v>
      </c>
      <c r="K29" s="47">
        <f>AVERAGE(W20:W21)</f>
        <v>1.9819799066242885</v>
      </c>
      <c r="R29" t="s">
        <v>109</v>
      </c>
      <c r="V29" s="47">
        <f>AVERAGE(W15:W19)</f>
        <v>2.6641434168043672</v>
      </c>
    </row>
    <row r="30" spans="1:29">
      <c r="G30" t="s">
        <v>82</v>
      </c>
      <c r="K30" s="47">
        <f>MEDIAN(W20:W21)</f>
        <v>1.9819799066242885</v>
      </c>
      <c r="R30" t="s">
        <v>108</v>
      </c>
      <c r="V30" s="47">
        <f>MEDIAN(W15:X19)</f>
        <v>1.4667140727660595</v>
      </c>
    </row>
    <row r="31" spans="1:29">
      <c r="G31" t="s">
        <v>83</v>
      </c>
      <c r="K31" s="47">
        <f>AVERAGE(W9:W18)</f>
        <v>1.4465802068084073</v>
      </c>
      <c r="R31" t="s">
        <v>81</v>
      </c>
      <c r="V31" s="47">
        <f>AVERAGE(W15:W18)</f>
        <v>1.5158916293432898</v>
      </c>
    </row>
    <row r="32" spans="1:29">
      <c r="G32" t="s">
        <v>101</v>
      </c>
      <c r="K32" s="47">
        <f>MEDIAN(W10:W18)</f>
        <v>1.4188235294117648</v>
      </c>
      <c r="R32" t="s">
        <v>105</v>
      </c>
      <c r="V32" s="47">
        <f>MEDIAN(W15:W18)</f>
        <v>1.4667140727660595</v>
      </c>
    </row>
    <row r="33" spans="18:22">
      <c r="R33" t="s">
        <v>106</v>
      </c>
      <c r="T33" s="47"/>
      <c r="U33" s="45"/>
      <c r="V33" s="47">
        <f>AVERAGEA(W9:W13)</f>
        <v>0.96879627011296421</v>
      </c>
    </row>
    <row r="34" spans="18:22">
      <c r="R34" t="s">
        <v>107</v>
      </c>
      <c r="T34" s="47"/>
      <c r="U34" s="47"/>
      <c r="V34" s="47">
        <f>MEDIAN(W9:W13)</f>
        <v>0.81966266173752311</v>
      </c>
    </row>
  </sheetData>
  <sortState ref="B9:AC21">
    <sortCondition descending="1" ref="AC9:AC21"/>
    <sortCondition descending="1" ref="AB9:AB21"/>
    <sortCondition ref="W9:W21"/>
  </sortState>
  <pageMargins left="0.7" right="0.7" top="0.75" bottom="0.75" header="0.3" footer="0.3"/>
  <pageSetup orientation="portrait"/>
  <drawing r:id="rId1"/>
  <extLst>
    <ext xmlns:x14="http://schemas.microsoft.com/office/spreadsheetml/2009/9/main" uri="{CCE6A557-97BC-4b89-ADB6-D9C93CAAB3DF}">
      <x14:dataValidations xmlns:xm="http://schemas.microsoft.com/office/excel/2006/main" disablePrompts="1" count="2">
        <x14:dataValidation type="list" allowBlank="1" showInputMessage="1" showErrorMessage="1">
          <x14:formula1>
            <xm:f>'[1]Project Statistics'!#REF!</xm:f>
          </x14:formula1>
          <xm:sqref>WVN9:WVO21 WLR9:WLS21 WBV9:WBW21 VRZ9:VSA21 VID9:VIE21 UYH9:UYI21 UOL9:UOM21 UEP9:UEQ21 TUT9:TUU21 TKX9:TKY21 TBB9:TBC21 SRF9:SRG21 SHJ9:SHK21 RXN9:RXO21 RNR9:RNS21 RDV9:RDW21 QTZ9:QUA21 QKD9:QKE21 QAH9:QAI21 PQL9:PQM21 PGP9:PGQ21 OWT9:OWU21 OMX9:OMY21 ODB9:ODC21 NTF9:NTG21 NJJ9:NJK21 MZN9:MZO21 MPR9:MPS21 MFV9:MFW21 LVZ9:LWA21 LMD9:LME21 LCH9:LCI21 KSL9:KSM21 KIP9:KIQ21 JYT9:JYU21 JOX9:JOY21 JFB9:JFC21 IVF9:IVG21 ILJ9:ILK21 IBN9:IBO21 HRR9:HRS21 HHV9:HHW21 GXZ9:GYA21 GOD9:GOE21 GEH9:GEI21 FUL9:FUM21 FKP9:FKQ21 FAT9:FAU21 EQX9:EQY21 EHB9:EHC21 DXF9:DXG21 DNJ9:DNK21 DDN9:DDO21 CTR9:CTS21 CJV9:CJW21 BZZ9:CAA21 BQD9:BQE21 BGH9:BGI21 AWL9:AWM21 AMP9:AMQ21 ACT9:ACU21 SX9:SY21 JB9:JC21</xm:sqref>
        </x14:dataValidation>
        <x14:dataValidation type="list" allowBlank="1" showInputMessage="1" showErrorMessage="1">
          <x14:formula1>
            <xm:f>'[1]Project Statistics'!#REF!</xm:f>
          </x14:formula1>
          <xm:sqref>WVM9:WVM21 WLQ9:WLQ21 WBU9:WBU21 VRY9:VRY21 VIC9:VIC21 UYG9:UYG21 UOK9:UOK21 UEO9:UEO21 TUS9:TUS21 TKW9:TKW21 TBA9:TBA21 SRE9:SRE21 SHI9:SHI21 RXM9:RXM21 RNQ9:RNQ21 RDU9:RDU21 QTY9:QTY21 QKC9:QKC21 QAG9:QAG21 PQK9:PQK21 PGO9:PGO21 OWS9:OWS21 OMW9:OMW21 ODA9:ODA21 NTE9:NTE21 NJI9:NJI21 MZM9:MZM21 MPQ9:MPQ21 MFU9:MFU21 LVY9:LVY21 LMC9:LMC21 LCG9:LCG21 KSK9:KSK21 KIO9:KIO21 JYS9:JYS21 JOW9:JOW21 JFA9:JFA21 IVE9:IVE21 ILI9:ILI21 IBM9:IBM21 HRQ9:HRQ21 HHU9:HHU21 GXY9:GXY21 GOC9:GOC21 GEG9:GEG21 FUK9:FUK21 FKO9:FKO21 FAS9:FAS21 EQW9:EQW21 EHA9:EHA21 DXE9:DXE21 DNI9:DNI21 DDM9:DDM21 CTQ9:CTQ21 CJU9:CJU21 BZY9:BZY21 BQC9:BQC21 BGG9:BGG21 AWK9:AWK21 AMO9:AMO21 ACS9:ACS21 SW9:SW21 JA9:JA21</xm:sqref>
        </x14:dataValidation>
      </x14:dataValidations>
    </ex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7:AC26"/>
  <sheetViews>
    <sheetView topLeftCell="B18" workbookViewId="0">
      <pane xSplit="1" topLeftCell="I1" activePane="topRight" state="frozen"/>
      <selection activeCell="B1" sqref="B1"/>
      <selection pane="topRight" activeCell="M36" sqref="M36"/>
    </sheetView>
  </sheetViews>
  <sheetFormatPr baseColWidth="10" defaultColWidth="8.83203125" defaultRowHeight="14" x14ac:dyDescent="0"/>
  <cols>
    <col min="2" max="2" width="11.6640625" customWidth="1"/>
    <col min="3" max="3" width="8.6640625" customWidth="1"/>
    <col min="4" max="4" width="12.6640625" customWidth="1"/>
    <col min="6" max="6" width="11.5" customWidth="1"/>
    <col min="9" max="9" width="12.5" customWidth="1"/>
    <col min="11" max="11" width="12.5" customWidth="1"/>
    <col min="22" max="22" width="11.5" bestFit="1" customWidth="1"/>
  </cols>
  <sheetData>
    <row r="7" spans="1:29" ht="85" thickBot="1">
      <c r="B7" s="1" t="s">
        <v>0</v>
      </c>
      <c r="C7" s="18" t="str">
        <f>VLOOKUP($B7,'BaseLine Data'!$B7:$AS21,2,FALSE)</f>
        <v>Number of Housing Units</v>
      </c>
      <c r="D7" s="18" t="str">
        <f>VLOOKUP($B7,'BaseLine Data'!$B7:$AS21,3,FALSE)</f>
        <v>Location</v>
      </c>
      <c r="E7" s="18" t="str">
        <f>VLOOKUP($B7,'BaseLine Data'!$B7:$AS21,4,FALSE)</f>
        <v>Pre-DER Cond. Floor Area_x000D_(sq.ft.)</v>
      </c>
      <c r="F7" s="18" t="str">
        <f>VLOOKUP($B7,'BaseLine Data'!$B7:$AS21,5,FALSE)</f>
        <v>Building Type</v>
      </c>
      <c r="G7" s="18" t="str">
        <f>VLOOKUP($B7,'BaseLine Data'!$B7:$AS21,6,FALSE)</f>
        <v>Stories</v>
      </c>
      <c r="H7" s="18" t="str">
        <f>VLOOKUP($B7,'BaseLine Data'!$B7:$AS21,7,FALSE)</f>
        <v>Approx. Year Built</v>
      </c>
      <c r="I7" s="18" t="str">
        <f>VLOOKUP($B7,'BaseLine Data'!$B7:$AS21,8,FALSE)</f>
        <v>Status</v>
      </c>
      <c r="J7" s="18" t="str">
        <f>VLOOKUP($B7,'BaseLine Data'!$B7:$AS21,9,FALSE)</f>
        <v>Double checked numbers? (Y/N)</v>
      </c>
      <c r="K7" s="18" t="str">
        <f>VLOOKUP($B7,'BaseLine Data'!$B7:$AS21,10,FALSE)</f>
        <v>Source for Geometry Data</v>
      </c>
      <c r="L7" s="18" t="str">
        <f>VLOOKUP($B7,'BaseLine Data'!$B7:$AS21,11,FALSE)</f>
        <v>Pre-Retrofit Basement</v>
      </c>
      <c r="M7" s="18" t="str">
        <f>VLOOKUP($B7,'BaseLine Data'!$B7:$AS21,12,FALSE)</f>
        <v>Post Retrofit Basement</v>
      </c>
      <c r="N7" s="18" t="str">
        <f>VLOOKUP($B7,'BaseLine Data'!$B7:$AS21,13,FALSE)</f>
        <v>Pre-DER Cond. Floor Area_x000D_(sq.ft.)</v>
      </c>
      <c r="O7" s="18" t="str">
        <f>VLOOKUP($B7,'BaseLine Data'!$B7:$AS21,14,FALSE)</f>
        <v>Post-DER Con. Floor Area        (sq.ft.)</v>
      </c>
      <c r="P7" s="18" t="str">
        <f>VLOOKUP($B7,'BaseLine Data'!$B7:$AS21,15,FALSE)</f>
        <v>Pre-DER Enclosure Area (sf)</v>
      </c>
      <c r="Q7" s="18" t="str">
        <f>VLOOKUP($B7,'BaseLine Data'!$B7:$AS21,16,FALSE)</f>
        <v>Post-DER Enclosure Area (sf)</v>
      </c>
      <c r="R7" s="18" t="str">
        <f>VLOOKUP($B7,'BaseLine Data'!$B7:$AS21,17,FALSE)</f>
        <v>Pre-DER Volume (ft3)</v>
      </c>
      <c r="S7" s="18" t="str">
        <f>VLOOKUP($B7,'BaseLine Data'!$B7:$AS21,18,FALSE)</f>
        <v>Post-DER Volume (ft3)</v>
      </c>
      <c r="T7" s="18" t="str">
        <f>VLOOKUP($B7,'BaseLine Data'!$B7:$AS21,19,FALSE)</f>
        <v>Pre-DER   CFM 50</v>
      </c>
      <c r="U7" s="18" t="str">
        <f>VLOOKUP($B7,'BaseLine Data'!$B7:$AS21,20,FALSE)</f>
        <v>Post-DER CFM 50</v>
      </c>
      <c r="V7" s="18" t="str">
        <f>VLOOKUP($B7,'BaseLine Data'!$B7:$AS21,21,FALSE)</f>
        <v xml:space="preserve">Pre-DER   ACH 50 </v>
      </c>
      <c r="W7" s="18" t="str">
        <f>VLOOKUP($B7,'BaseLine Data'!$B7:$AS21,22,FALSE)</f>
        <v xml:space="preserve">Post-DER ACH 50 </v>
      </c>
      <c r="X7" s="18" t="str">
        <f>VLOOKUP($B7,'BaseLine Data'!$B7:$AS21,23,FALSE)</f>
        <v>Pre-DER   CFM 50 per Sq.Ft. of Enclosure</v>
      </c>
      <c r="Y7" s="18" t="str">
        <f>VLOOKUP($B7,'BaseLine Data'!$B7:$AS21,24,FALSE)</f>
        <v>Post-DER CFM 50 per Sq. Ft. of Enclosure</v>
      </c>
      <c r="Z7" s="18" t="str">
        <f>VLOOKUP($B7,'BaseLine Data'!$B7:$AS21,25,FALSE)</f>
        <v>Pre-DER CFM/sf Conditioned floor area</v>
      </c>
      <c r="AA7" s="18" t="str">
        <f>VLOOKUP($B7,'BaseLine Data'!$B7:$AS21,26,FALSE)</f>
        <v>Post-DER CFM/sf Conditioned floor area</v>
      </c>
      <c r="AB7" s="52" t="str">
        <f>VLOOKUP($B7,'BaseLine Data'!$B7:$AS21,40,FALSE)</f>
        <v>Fdn Insul: 1=rigid, conc;2=SPF, conc; 3=SPF, Stone</v>
      </c>
      <c r="AC7" s="52" t="str">
        <f>VLOOKUP($B7,'BaseLine Data'!$B7:$AS21,44,FALSE)</f>
        <v>Sort Order</v>
      </c>
    </row>
    <row r="8" spans="1:29" ht="52">
      <c r="A8" s="9"/>
      <c r="B8" s="10" t="s">
        <v>23</v>
      </c>
      <c r="C8" s="11"/>
      <c r="D8" s="11"/>
      <c r="E8" s="11"/>
      <c r="F8" s="11"/>
      <c r="G8" s="11"/>
      <c r="H8" s="11"/>
      <c r="I8" s="11"/>
      <c r="J8" s="11"/>
      <c r="K8" s="11"/>
      <c r="L8" s="11"/>
      <c r="M8" s="11"/>
      <c r="N8" s="12"/>
      <c r="O8" s="13"/>
      <c r="P8" s="12"/>
      <c r="Q8" s="13"/>
      <c r="R8" s="12"/>
      <c r="S8" s="14"/>
      <c r="T8" s="15"/>
      <c r="U8" s="15"/>
      <c r="V8" s="16"/>
      <c r="W8" s="14"/>
      <c r="X8" s="15"/>
      <c r="Y8" s="14"/>
      <c r="Z8" s="15"/>
      <c r="AA8" s="14"/>
      <c r="AB8" s="53"/>
    </row>
    <row r="9" spans="1:29" ht="28">
      <c r="A9" s="17" t="s">
        <v>24</v>
      </c>
      <c r="B9" s="18" t="s">
        <v>31</v>
      </c>
      <c r="C9" s="18">
        <f>VLOOKUP($B9,'BaseLine Data'!$B9:$AS21,2,FALSE)</f>
        <v>2</v>
      </c>
      <c r="D9" s="18" t="str">
        <f>VLOOKUP($B9,'BaseLine Data'!$B9:$AS21,3,FALSE)</f>
        <v>Arlington</v>
      </c>
      <c r="E9" s="18">
        <f>VLOOKUP($B9,'BaseLine Data'!$B9:$AS21,4,FALSE)</f>
        <v>2112</v>
      </c>
      <c r="F9" s="18" t="str">
        <f>VLOOKUP($B9,'BaseLine Data'!$B9:$AS21,5,FALSE)</f>
        <v>2 family</v>
      </c>
      <c r="G9" s="18">
        <f>VLOOKUP($B9,'BaseLine Data'!$B9:$AS21,6,FALSE)</f>
        <v>2</v>
      </c>
      <c r="H9" s="18">
        <f>VLOOKUP($B9,'BaseLine Data'!$B9:$AS21,7,FALSE)</f>
        <v>1910</v>
      </c>
      <c r="I9" s="18" t="str">
        <f>VLOOKUP($B9,'BaseLine Data'!$B9:$AS21,8,FALSE)</f>
        <v>Complete</v>
      </c>
      <c r="J9" s="18">
        <f>VLOOKUP($B9,'BaseLine Data'!$B9:$AS21,9,FALSE)</f>
        <v>0</v>
      </c>
      <c r="K9" s="18" t="str">
        <f>VLOOKUP($B9,'BaseLine Data'!$B9:$AS21,10,FALSE)</f>
        <v>take-off from drawings</v>
      </c>
      <c r="L9" s="18" t="str">
        <f>VLOOKUP($B9,'BaseLine Data'!$B9:$AS21,11,FALSE)</f>
        <v>Excluded</v>
      </c>
      <c r="M9" s="18" t="str">
        <f>VLOOKUP($B9,'BaseLine Data'!$B9:$AS21,12,FALSE)</f>
        <v>Excluded</v>
      </c>
      <c r="N9" s="18">
        <f>VLOOKUP($B9,'BaseLine Data'!$B9:$AS21,13,FALSE)</f>
        <v>2502</v>
      </c>
      <c r="O9" s="18">
        <f>VLOOKUP($B9,'BaseLine Data'!$B9:$AS21,14,FALSE)</f>
        <v>3627</v>
      </c>
      <c r="P9" s="18">
        <f>VLOOKUP($B9,'BaseLine Data'!$B9:$AS21,15,FALSE)</f>
        <v>5153</v>
      </c>
      <c r="Q9" s="18">
        <f>VLOOKUP($B9,'BaseLine Data'!$B9:$AS21,16,FALSE)</f>
        <v>5925</v>
      </c>
      <c r="R9" s="18">
        <f>VLOOKUP($B9,'BaseLine Data'!$B9:$AS21,17,FALSE)</f>
        <v>20157</v>
      </c>
      <c r="S9" s="18">
        <f>VLOOKUP($B9,'BaseLine Data'!$B9:$AS21,18,FALSE)</f>
        <v>29648</v>
      </c>
      <c r="T9" s="18">
        <f>VLOOKUP($B9,'BaseLine Data'!$B9:$AS21,19,FALSE)</f>
        <v>8730</v>
      </c>
      <c r="U9" s="18">
        <f>VLOOKUP($B9,'BaseLine Data'!$B9:$AS21,20,FALSE)</f>
        <v>3586</v>
      </c>
      <c r="V9" s="30">
        <f t="shared" ref="V9:W14" si="0">T9*60*(1/R9)</f>
        <v>25.986009822890313</v>
      </c>
      <c r="W9" s="30">
        <f t="shared" si="0"/>
        <v>7.2571505666486775</v>
      </c>
      <c r="X9" s="39">
        <f t="shared" ref="X9:X21" si="1">T9/P9</f>
        <v>1.6941587424801088</v>
      </c>
      <c r="Y9" s="37">
        <f t="shared" ref="Y9:Y21" si="2">U9/Q9</f>
        <v>0.60523206751054848</v>
      </c>
      <c r="Z9" s="39">
        <f t="shared" ref="Z9:Z21" si="3">T9/N9</f>
        <v>3.4892086330935252</v>
      </c>
      <c r="AA9" s="37">
        <f t="shared" ref="AA9:AA21" si="4">U9/O9</f>
        <v>0.98869589192169838</v>
      </c>
      <c r="AB9" s="52">
        <f>VLOOKUP($B9,'BaseLine Data'!$B9:$AS21,40,FALSE)</f>
        <v>0</v>
      </c>
      <c r="AC9" s="52">
        <f>VLOOKUP($B9,'BaseLine Data'!$B9:$AS21,44,FALSE)</f>
        <v>6</v>
      </c>
    </row>
    <row r="10" spans="1:29">
      <c r="A10" s="17" t="s">
        <v>24</v>
      </c>
      <c r="B10" s="24" t="s">
        <v>40</v>
      </c>
      <c r="C10" s="18">
        <f>VLOOKUP($B10,'BaseLine Data'!$B9:$AS21,2,FALSE)</f>
        <v>1</v>
      </c>
      <c r="D10" s="18" t="str">
        <f>VLOOKUP($B10,'BaseLine Data'!$B9:$AS21,3,FALSE)</f>
        <v>Gloucester</v>
      </c>
      <c r="E10" s="18">
        <f>VLOOKUP($B10,'BaseLine Data'!$B9:$AS21,4,FALSE)</f>
        <v>2171</v>
      </c>
      <c r="F10" s="18" t="str">
        <f>VLOOKUP($B10,'BaseLine Data'!$B9:$AS21,5,FALSE)</f>
        <v>Single family</v>
      </c>
      <c r="G10" s="18">
        <f>VLOOKUP($B10,'BaseLine Data'!$B9:$AS21,6,FALSE)</f>
        <v>2</v>
      </c>
      <c r="H10" s="18">
        <f>VLOOKUP($B10,'BaseLine Data'!$B9:$AS21,7,FALSE)</f>
        <v>1920</v>
      </c>
      <c r="I10" s="18" t="str">
        <f>VLOOKUP($B10,'BaseLine Data'!$B9:$AS21,8,FALSE)</f>
        <v>Complete</v>
      </c>
      <c r="J10" s="18">
        <f>VLOOKUP($B10,'BaseLine Data'!$B9:$AS21,9,FALSE)</f>
        <v>0</v>
      </c>
      <c r="K10" s="18" t="str">
        <f>VLOOKUP($B10,'BaseLine Data'!$B9:$AS21,10,FALSE)</f>
        <v>application</v>
      </c>
      <c r="L10" s="18">
        <f>VLOOKUP($B10,'BaseLine Data'!$B9:$AS21,11,FALSE)</f>
        <v>0</v>
      </c>
      <c r="M10" s="18">
        <f>VLOOKUP($B10,'BaseLine Data'!$B9:$AS21,12,FALSE)</f>
        <v>0</v>
      </c>
      <c r="N10" s="18">
        <f>VLOOKUP($B10,'BaseLine Data'!$B9:$AS21,13,FALSE)</f>
        <v>2171</v>
      </c>
      <c r="O10" s="18">
        <f>VLOOKUP($B10,'BaseLine Data'!$B9:$AS21,14,FALSE)</f>
        <v>2424</v>
      </c>
      <c r="P10" s="18">
        <f>VLOOKUP($B10,'BaseLine Data'!$B9:$AS21,15,FALSE)</f>
        <v>5325</v>
      </c>
      <c r="Q10" s="18">
        <f>VLOOKUP($B10,'BaseLine Data'!$B9:$AS21,16,FALSE)</f>
        <v>6493</v>
      </c>
      <c r="R10" s="18">
        <f>VLOOKUP($B10,'BaseLine Data'!$B9:$AS21,17,FALSE)</f>
        <v>0</v>
      </c>
      <c r="S10" s="18">
        <f>VLOOKUP($B10,'BaseLine Data'!$B9:$AS21,18,FALSE)</f>
        <v>23285</v>
      </c>
      <c r="T10" s="18">
        <f>VLOOKUP($B10,'BaseLine Data'!$B9:$AS21,19,FALSE)</f>
        <v>2258</v>
      </c>
      <c r="U10" s="18">
        <f>VLOOKUP($B10,'BaseLine Data'!$B9:$AS21,20,FALSE)</f>
        <v>235</v>
      </c>
      <c r="V10" s="30" t="e">
        <f t="shared" si="0"/>
        <v>#DIV/0!</v>
      </c>
      <c r="W10" s="30">
        <f t="shared" si="0"/>
        <v>0.60554004724071286</v>
      </c>
      <c r="X10" s="39">
        <f t="shared" si="1"/>
        <v>0.42403755868544601</v>
      </c>
      <c r="Y10" s="46">
        <f t="shared" si="2"/>
        <v>3.6192823040197136E-2</v>
      </c>
      <c r="Z10" s="39">
        <f t="shared" si="3"/>
        <v>1.0400736987563335</v>
      </c>
      <c r="AA10" s="37">
        <f t="shared" si="4"/>
        <v>9.6947194719471941E-2</v>
      </c>
      <c r="AB10" s="52">
        <f>VLOOKUP($B10,'BaseLine Data'!$B9:$AS21,40,FALSE)</f>
        <v>1</v>
      </c>
      <c r="AC10" s="52">
        <f>VLOOKUP($B10,'BaseLine Data'!$B9:$AS21,44,FALSE)</f>
        <v>14</v>
      </c>
    </row>
    <row r="11" spans="1:29">
      <c r="A11" s="17" t="s">
        <v>24</v>
      </c>
      <c r="B11" s="18" t="s">
        <v>38</v>
      </c>
      <c r="C11" s="18">
        <f>VLOOKUP($B11,'BaseLine Data'!$B9:$AS21,2,FALSE)</f>
        <v>1</v>
      </c>
      <c r="D11" s="18" t="str">
        <f>VLOOKUP($B11,'BaseLine Data'!$B9:$AS21,3,FALSE)</f>
        <v>Westford</v>
      </c>
      <c r="E11" s="18">
        <f>VLOOKUP($B11,'BaseLine Data'!$B9:$AS21,4,FALSE)</f>
        <v>2906</v>
      </c>
      <c r="F11" s="18" t="str">
        <f>VLOOKUP($B11,'BaseLine Data'!$B9:$AS21,5,FALSE)</f>
        <v>Colonial</v>
      </c>
      <c r="G11" s="18">
        <f>VLOOKUP($B11,'BaseLine Data'!$B9:$AS21,6,FALSE)</f>
        <v>2</v>
      </c>
      <c r="H11" s="18">
        <f>VLOOKUP($B11,'BaseLine Data'!$B9:$AS21,7,FALSE)</f>
        <v>1993</v>
      </c>
      <c r="I11" s="18" t="str">
        <f>VLOOKUP($B11,'BaseLine Data'!$B9:$AS21,8,FALSE)</f>
        <v>Complete</v>
      </c>
      <c r="J11" s="18">
        <f>VLOOKUP($B11,'BaseLine Data'!$B9:$AS21,9,FALSE)</f>
        <v>0</v>
      </c>
      <c r="K11" s="18" t="str">
        <f>VLOOKUP($B11,'BaseLine Data'!$B9:$AS21,10,FALSE)</f>
        <v>application</v>
      </c>
      <c r="L11" s="18">
        <f>VLOOKUP($B11,'BaseLine Data'!$B9:$AS21,11,FALSE)</f>
        <v>0</v>
      </c>
      <c r="M11" s="18">
        <f>VLOOKUP($B11,'BaseLine Data'!$B9:$AS21,12,FALSE)</f>
        <v>0</v>
      </c>
      <c r="N11" s="18">
        <f>VLOOKUP($B11,'BaseLine Data'!$B9:$AS21,13,FALSE)</f>
        <v>2906</v>
      </c>
      <c r="O11" s="18">
        <f>VLOOKUP($B11,'BaseLine Data'!$B9:$AS21,14,FALSE)</f>
        <v>3955</v>
      </c>
      <c r="P11" s="18">
        <f>VLOOKUP($B11,'BaseLine Data'!$B9:$AS21,15,FALSE)</f>
        <v>7325</v>
      </c>
      <c r="Q11" s="18">
        <f>VLOOKUP($B11,'BaseLine Data'!$B9:$AS21,16,FALSE)</f>
        <v>9538</v>
      </c>
      <c r="R11" s="18">
        <f>VLOOKUP($B11,'BaseLine Data'!$B9:$AS21,17,FALSE)</f>
        <v>32226</v>
      </c>
      <c r="S11" s="18">
        <f>VLOOKUP($B11,'BaseLine Data'!$B9:$AS21,18,FALSE)</f>
        <v>44475</v>
      </c>
      <c r="T11" s="18">
        <f>VLOOKUP($B11,'BaseLine Data'!$B9:$AS21,19,FALSE)</f>
        <v>2592</v>
      </c>
      <c r="U11" s="18">
        <f>VLOOKUP($B11,'BaseLine Data'!$B9:$AS21,20,FALSE)</f>
        <v>930</v>
      </c>
      <c r="V11" s="30">
        <f t="shared" si="0"/>
        <v>4.8259169614596908</v>
      </c>
      <c r="W11" s="28">
        <f t="shared" si="0"/>
        <v>1.2546374367622262</v>
      </c>
      <c r="X11" s="29">
        <f t="shared" si="1"/>
        <v>0.35385665529010241</v>
      </c>
      <c r="Y11" s="34">
        <f t="shared" si="2"/>
        <v>9.7504717970224364E-2</v>
      </c>
      <c r="Z11" s="29">
        <f t="shared" si="3"/>
        <v>0.89194769442532695</v>
      </c>
      <c r="AA11" s="28">
        <f t="shared" si="4"/>
        <v>0.23514538558786346</v>
      </c>
      <c r="AB11" s="52">
        <f>VLOOKUP($B11,'BaseLine Data'!$B9:$AS21,40,FALSE)</f>
        <v>1</v>
      </c>
      <c r="AC11" s="52">
        <f>VLOOKUP($B11,'BaseLine Data'!$B9:$AS21,44,FALSE)</f>
        <v>12</v>
      </c>
    </row>
    <row r="12" spans="1:29">
      <c r="A12" s="17" t="s">
        <v>24</v>
      </c>
      <c r="B12" s="18" t="s">
        <v>28</v>
      </c>
      <c r="C12" s="18">
        <f>VLOOKUP($B12,'BaseLine Data'!$B9:$AS21,2,FALSE)</f>
        <v>1</v>
      </c>
      <c r="D12" s="18" t="str">
        <f>VLOOKUP($B12,'BaseLine Data'!$B9:$AS21,3,FALSE)</f>
        <v>Millbury</v>
      </c>
      <c r="E12" s="18">
        <f>VLOOKUP($B12,'BaseLine Data'!$B9:$AS21,4,FALSE)</f>
        <v>1100</v>
      </c>
      <c r="F12" s="18">
        <f>VLOOKUP($B12,'BaseLine Data'!$B9:$AS21,4,FALSE)</f>
        <v>1100</v>
      </c>
      <c r="G12" s="18">
        <f>VLOOKUP($B12,'BaseLine Data'!$B9:$AS21,6,FALSE)</f>
        <v>1.5</v>
      </c>
      <c r="H12" s="18">
        <f>VLOOKUP($B12,'BaseLine Data'!$B9:$AS21,7,FALSE)</f>
        <v>1953</v>
      </c>
      <c r="I12" s="18" t="str">
        <f>VLOOKUP($B12,'BaseLine Data'!$B9:$AS21,8,FALSE)</f>
        <v>Complete</v>
      </c>
      <c r="J12" s="18" t="str">
        <f>VLOOKUP($B12,'BaseLine Data'!$B9:$AS21,9,FALSE)</f>
        <v>?</v>
      </c>
      <c r="K12" s="18">
        <f>VLOOKUP($B12,'BaseLine Data'!$B9:$AS21,10,FALSE)</f>
        <v>0</v>
      </c>
      <c r="L12" s="18" t="str">
        <f>VLOOKUP($B12,'BaseLine Data'!$B9:$AS21,11,FALSE)</f>
        <v>Included</v>
      </c>
      <c r="M12" s="18" t="str">
        <f>VLOOKUP($B12,'BaseLine Data'!$B9:$AS21,12,FALSE)</f>
        <v>Included</v>
      </c>
      <c r="N12" s="18">
        <f>VLOOKUP($B12,'BaseLine Data'!$B9:$AS21,13,FALSE)</f>
        <v>1868</v>
      </c>
      <c r="O12" s="18">
        <f>VLOOKUP($B12,'BaseLine Data'!$B9:$AS21,14,FALSE)</f>
        <v>1868</v>
      </c>
      <c r="P12" s="18">
        <f>VLOOKUP($B12,'BaseLine Data'!$B9:$AS21,15,FALSE)</f>
        <v>4278</v>
      </c>
      <c r="Q12" s="18">
        <f>VLOOKUP($B12,'BaseLine Data'!$B9:$AS21,16,FALSE)</f>
        <v>4278</v>
      </c>
      <c r="R12" s="18">
        <f>VLOOKUP($B12,'BaseLine Data'!$B9:$AS21,17,FALSE)</f>
        <v>17000</v>
      </c>
      <c r="S12" s="18">
        <f>VLOOKUP($B12,'BaseLine Data'!$B9:$AS21,18,FALSE)</f>
        <v>17000</v>
      </c>
      <c r="T12" s="18">
        <f>VLOOKUP($B12,'BaseLine Data'!$B9:$AS21,19,FALSE)</f>
        <v>2860</v>
      </c>
      <c r="U12" s="18">
        <f>VLOOKUP($B12,'BaseLine Data'!$B9:$AS21,20,FALSE)</f>
        <v>402</v>
      </c>
      <c r="V12" s="30">
        <f t="shared" si="0"/>
        <v>10.094117647058823</v>
      </c>
      <c r="W12" s="28">
        <f t="shared" si="0"/>
        <v>1.4188235294117648</v>
      </c>
      <c r="X12" s="29">
        <f t="shared" si="1"/>
        <v>0.66853669939223936</v>
      </c>
      <c r="Y12" s="28">
        <f t="shared" si="2"/>
        <v>9.3969144460028048E-2</v>
      </c>
      <c r="Z12" s="29">
        <f t="shared" si="3"/>
        <v>1.5310492505353319</v>
      </c>
      <c r="AA12" s="28">
        <f t="shared" si="4"/>
        <v>0.21520342612419699</v>
      </c>
      <c r="AB12" s="52">
        <f>VLOOKUP($B12,'BaseLine Data'!$B9:$AS21,40,FALSE)</f>
        <v>1</v>
      </c>
      <c r="AC12" s="52">
        <f>VLOOKUP($B12,'BaseLine Data'!$B9:$AS21,44,FALSE)</f>
        <v>3</v>
      </c>
    </row>
    <row r="13" spans="1:29" ht="28">
      <c r="A13" s="17" t="s">
        <v>24</v>
      </c>
      <c r="B13" s="18" t="s">
        <v>29</v>
      </c>
      <c r="C13" s="18">
        <f>VLOOKUP($B13,'BaseLine Data'!$B9:$AS21,2,FALSE)</f>
        <v>1</v>
      </c>
      <c r="D13" s="18" t="str">
        <f>VLOOKUP($B13,'BaseLine Data'!$B9:$AS21,3,FALSE)</f>
        <v>Milton</v>
      </c>
      <c r="E13" s="18">
        <f>VLOOKUP($B13,'BaseLine Data'!$B9:$AS21,4,FALSE)</f>
        <v>1600</v>
      </c>
      <c r="F13" s="18" t="str">
        <f>VLOOKUP($B13,'BaseLine Data'!$B9:$AS21,5,FALSE)</f>
        <v>Garrison Colonial</v>
      </c>
      <c r="G13" s="18">
        <f>VLOOKUP($B13,'BaseLine Data'!$B9:$AS21,6,FALSE)</f>
        <v>2</v>
      </c>
      <c r="H13" s="18">
        <f>VLOOKUP($B13,'BaseLine Data'!$B9:$AS21,7,FALSE)</f>
        <v>1960</v>
      </c>
      <c r="I13" s="18" t="str">
        <f>VLOOKUP($B13,'BaseLine Data'!$B9:$AS21,8,FALSE)</f>
        <v>Complete</v>
      </c>
      <c r="J13" s="18" t="str">
        <f>VLOOKUP($B13,'BaseLine Data'!$B9:$AS21,9,FALSE)</f>
        <v>Y</v>
      </c>
      <c r="K13" s="18" t="str">
        <f>VLOOKUP($B13,'BaseLine Data'!$B9:$AS21,10,FALSE)</f>
        <v>take-off from drawings</v>
      </c>
      <c r="L13" s="18" t="str">
        <f>VLOOKUP($B13,'BaseLine Data'!$B9:$AS21,11,FALSE)</f>
        <v>Included</v>
      </c>
      <c r="M13" s="18" t="str">
        <f>VLOOKUP($B13,'BaseLine Data'!$B9:$AS21,12,FALSE)</f>
        <v>Included</v>
      </c>
      <c r="N13" s="18">
        <f>VLOOKUP($B13,'BaseLine Data'!$B9:$AS21,13,FALSE)</f>
        <v>2368</v>
      </c>
      <c r="O13" s="18">
        <f>VLOOKUP($B13,'BaseLine Data'!$B9:$AS21,14,FALSE)</f>
        <v>2368</v>
      </c>
      <c r="P13" s="18">
        <f>VLOOKUP($B13,'BaseLine Data'!$B9:$AS21,15,FALSE)</f>
        <v>3408</v>
      </c>
      <c r="Q13" s="18">
        <f>VLOOKUP($B13,'BaseLine Data'!$B9:$AS21,16,FALSE)</f>
        <v>3740</v>
      </c>
      <c r="R13" s="18">
        <f>VLOOKUP($B13,'BaseLine Data'!$B9:$AS21,17,FALSE)</f>
        <v>22457.599999999999</v>
      </c>
      <c r="S13" s="18">
        <f>VLOOKUP($B13,'BaseLine Data'!$B9:$AS21,18,FALSE)</f>
        <v>24457.599999999999</v>
      </c>
      <c r="T13" s="18">
        <f>VLOOKUP($B13,'BaseLine Data'!$B9:$AS21,19,FALSE)</f>
        <v>1695</v>
      </c>
      <c r="U13" s="18">
        <f>VLOOKUP($B13,'BaseLine Data'!$B9:$AS21,20,FALSE)</f>
        <v>584</v>
      </c>
      <c r="V13" s="36">
        <f t="shared" si="0"/>
        <v>4.5285337703049304</v>
      </c>
      <c r="W13" s="28">
        <f t="shared" si="0"/>
        <v>1.4326835012429675</v>
      </c>
      <c r="X13" s="29">
        <f t="shared" si="1"/>
        <v>0.49735915492957744</v>
      </c>
      <c r="Y13" s="28">
        <f t="shared" si="2"/>
        <v>0.15614973262032086</v>
      </c>
      <c r="Z13" s="29">
        <f t="shared" si="3"/>
        <v>0.71579391891891897</v>
      </c>
      <c r="AA13" s="28">
        <f t="shared" si="4"/>
        <v>0.24662162162162163</v>
      </c>
      <c r="AB13" s="52">
        <f>VLOOKUP($B13,'BaseLine Data'!$B9:$AS21,40,FALSE)</f>
        <v>2</v>
      </c>
      <c r="AC13" s="52">
        <f>VLOOKUP($B13,'BaseLine Data'!$B9:$AS21,44,FALSE)</f>
        <v>4</v>
      </c>
    </row>
    <row r="14" spans="1:29" ht="28">
      <c r="A14" s="17" t="s">
        <v>24</v>
      </c>
      <c r="B14" s="18" t="s">
        <v>27</v>
      </c>
      <c r="C14" s="18">
        <f>VLOOKUP($B14,'BaseLine Data'!$B9:$AS21,2,FALSE)</f>
        <v>2</v>
      </c>
      <c r="D14" s="18" t="str">
        <f>VLOOKUP($B14,'BaseLine Data'!$B9:$AS21,3,FALSE)</f>
        <v>Belmont</v>
      </c>
      <c r="E14" s="18">
        <f>VLOOKUP($B14,'BaseLine Data'!$B9:$AS21,4,FALSE)</f>
        <v>2728</v>
      </c>
      <c r="F14" s="18" t="str">
        <f>VLOOKUP($B14,'BaseLine Data'!$B9:$AS21,5,FALSE)</f>
        <v>2 family</v>
      </c>
      <c r="G14" s="18">
        <f>VLOOKUP($B14,'BaseLine Data'!$B9:$AS21,6,FALSE)</f>
        <v>3</v>
      </c>
      <c r="H14" s="18">
        <f>VLOOKUP($B14,'BaseLine Data'!$B9:$AS21,7,FALSE)</f>
        <v>1925</v>
      </c>
      <c r="I14" s="18" t="str">
        <f>VLOOKUP($B14,'BaseLine Data'!$B9:$AS21,8,FALSE)</f>
        <v>Complete</v>
      </c>
      <c r="J14" s="18" t="str">
        <f>VLOOKUP($B14,'BaseLine Data'!$B9:$AS21,9,FALSE)</f>
        <v>Y</v>
      </c>
      <c r="K14" s="18">
        <f>VLOOKUP($B14,'BaseLine Data'!$B9:$AS21,10,FALSE)</f>
        <v>0</v>
      </c>
      <c r="L14" s="18" t="str">
        <f>VLOOKUP($B14,'BaseLine Data'!$B9:$AS21,11,FALSE)</f>
        <v>Excluded</v>
      </c>
      <c r="M14" s="18" t="str">
        <f>VLOOKUP($B14,'BaseLine Data'!$B9:$AS21,12,FALSE)</f>
        <v>Included</v>
      </c>
      <c r="N14" s="18">
        <f>VLOOKUP($B14,'BaseLine Data'!$B9:$AS21,13,FALSE)</f>
        <v>3417</v>
      </c>
      <c r="O14" s="18">
        <f>VLOOKUP($B14,'BaseLine Data'!$B9:$AS21,14,FALSE)</f>
        <v>4768</v>
      </c>
      <c r="P14" s="18">
        <f>VLOOKUP($B14,'BaseLine Data'!$B9:$AS21,15,FALSE)</f>
        <v>7468</v>
      </c>
      <c r="Q14" s="18">
        <f>VLOOKUP($B14,'BaseLine Data'!$B9:$AS21,16,FALSE)</f>
        <v>9093</v>
      </c>
      <c r="R14" s="18">
        <f>VLOOKUP($B14,'BaseLine Data'!$B9:$AS21,17,FALSE)</f>
        <v>36898</v>
      </c>
      <c r="S14" s="18">
        <f>VLOOKUP($B14,'BaseLine Data'!$B9:$AS21,18,FALSE)</f>
        <v>47706</v>
      </c>
      <c r="T14" s="18">
        <f>VLOOKUP($B14,'BaseLine Data'!$B9:$AS21,19,FALSE)</f>
        <v>5700</v>
      </c>
      <c r="U14" s="18">
        <f>VLOOKUP($B14,'BaseLine Data'!$B9:$AS21,20,FALSE)</f>
        <v>590</v>
      </c>
      <c r="V14" s="30">
        <f t="shared" si="0"/>
        <v>9.2687950566426363</v>
      </c>
      <c r="W14" s="28">
        <f t="shared" si="0"/>
        <v>0.74204502578292031</v>
      </c>
      <c r="X14" s="38">
        <f t="shared" si="1"/>
        <v>0.76325656132833419</v>
      </c>
      <c r="Y14" s="40">
        <f t="shared" si="2"/>
        <v>6.4885076432420544E-2</v>
      </c>
      <c r="Z14" s="48">
        <f t="shared" si="3"/>
        <v>1.6681299385425812</v>
      </c>
      <c r="AA14" s="49">
        <f t="shared" si="4"/>
        <v>0.12374161073825503</v>
      </c>
      <c r="AB14" s="52">
        <f>VLOOKUP($B14,'BaseLine Data'!$B9:$AS21,40,FALSE)</f>
        <v>3</v>
      </c>
      <c r="AC14" s="52">
        <f>VLOOKUP($B14,'BaseLine Data'!$B9:$AS21,44,FALSE)</f>
        <v>2</v>
      </c>
    </row>
    <row r="15" spans="1:29">
      <c r="A15" s="17" t="s">
        <v>32</v>
      </c>
      <c r="B15" s="18" t="s">
        <v>35</v>
      </c>
      <c r="C15" s="18">
        <f>VLOOKUP($B15,'BaseLine Data'!$B9:$AS21,2,FALSE)</f>
        <v>1</v>
      </c>
      <c r="D15" s="18" t="str">
        <f>VLOOKUP($B15,'BaseLine Data'!$B9:$AS21,3,FALSE)</f>
        <v>Northampton</v>
      </c>
      <c r="E15" s="18">
        <f>VLOOKUP($B15,'BaseLine Data'!$B9:$AS21,4,FALSE)</f>
        <v>2032</v>
      </c>
      <c r="F15" s="18" t="str">
        <f>VLOOKUP($B15,'BaseLine Data'!$B9:$AS21,5,FALSE)</f>
        <v>Victorian</v>
      </c>
      <c r="G15" s="18">
        <f>VLOOKUP($B15,'BaseLine Data'!$B9:$AS21,6,FALSE)</f>
        <v>1</v>
      </c>
      <c r="H15" s="18">
        <f>VLOOKUP($B15,'BaseLine Data'!$B9:$AS21,7,FALSE)</f>
        <v>1859</v>
      </c>
      <c r="I15" s="18" t="str">
        <f>VLOOKUP($B15,'BaseLine Data'!$B9:$AS21,8,FALSE)</f>
        <v>Complete</v>
      </c>
      <c r="J15" s="18">
        <f>VLOOKUP($B15,'BaseLine Data'!$B9:$AS21,9,FALSE)</f>
        <v>0</v>
      </c>
      <c r="K15" s="18">
        <f>VLOOKUP($B15,'BaseLine Data'!$B9:$AS21,10,FALSE)</f>
        <v>0</v>
      </c>
      <c r="L15" s="18">
        <f>VLOOKUP($B15,'BaseLine Data'!$B9:$AS21,11,FALSE)</f>
        <v>0</v>
      </c>
      <c r="M15" s="18" t="str">
        <f>VLOOKUP($B15,'BaseLine Data'!$B9:$AS21,12,FALSE)</f>
        <v>Included</v>
      </c>
      <c r="N15" s="18">
        <f>VLOOKUP($B15,'BaseLine Data'!$B9:$AS21,13,FALSE)</f>
        <v>2032</v>
      </c>
      <c r="O15" s="18">
        <f>VLOOKUP($B15,'BaseLine Data'!$B9:$AS21,14,FALSE)</f>
        <v>2747</v>
      </c>
      <c r="P15" s="18">
        <f>VLOOKUP($B15,'BaseLine Data'!$B9:$AS21,15,FALSE)</f>
        <v>6711</v>
      </c>
      <c r="Q15" s="18">
        <f>VLOOKUP($B15,'BaseLine Data'!$B9:$AS21,16,FALSE)</f>
        <v>7798</v>
      </c>
      <c r="R15" s="18">
        <f>VLOOKUP($B15,'BaseLine Data'!$B9:$AS21,17,FALSE)</f>
        <v>0</v>
      </c>
      <c r="S15" s="18">
        <f>VLOOKUP($B15,'BaseLine Data'!$B9:$AS21,18,FALSE)</f>
        <v>34624</v>
      </c>
      <c r="T15" s="18">
        <f>VLOOKUP($B15,'BaseLine Data'!$B9:$AS21,19,FALSE)</f>
        <v>6155</v>
      </c>
      <c r="U15" s="18">
        <f>VLOOKUP($B15,'BaseLine Data'!$B9:$AS21,20,FALSE)</f>
        <v>473</v>
      </c>
      <c r="V15" s="30"/>
      <c r="W15" s="28">
        <f t="shared" ref="W15:W21" si="5">U15*60*(1/S15)</f>
        <v>0.81966266173752311</v>
      </c>
      <c r="X15" s="29">
        <f t="shared" si="1"/>
        <v>0.91715094620771864</v>
      </c>
      <c r="Y15" s="28">
        <f t="shared" si="2"/>
        <v>6.0656578609899973E-2</v>
      </c>
      <c r="Z15" s="29">
        <f t="shared" si="3"/>
        <v>3.0290354330708662</v>
      </c>
      <c r="AA15" s="28">
        <f t="shared" si="4"/>
        <v>0.17218784128139789</v>
      </c>
      <c r="AB15" s="52">
        <f>VLOOKUP($B15,'BaseLine Data'!$B9:$AS21,40,FALSE)</f>
        <v>3</v>
      </c>
      <c r="AC15" s="52">
        <f>VLOOKUP($B15,'BaseLine Data'!$B9:$AS21,44,FALSE)</f>
        <v>9</v>
      </c>
    </row>
    <row r="16" spans="1:29" ht="28">
      <c r="A16" s="17" t="s">
        <v>24</v>
      </c>
      <c r="B16" s="18" t="s">
        <v>30</v>
      </c>
      <c r="C16" s="18">
        <f>VLOOKUP($B16,'BaseLine Data'!$B9:$AS21,2,FALSE)</f>
        <v>1</v>
      </c>
      <c r="D16" s="18" t="str">
        <f>VLOOKUP($B16,'BaseLine Data'!$B9:$AT21,3,FALSE)</f>
        <v>Quincy</v>
      </c>
      <c r="E16" s="18">
        <f>VLOOKUP($B16,'BaseLine Data'!$B9:$AT21,4,FALSE)</f>
        <v>1808</v>
      </c>
      <c r="F16" s="18" t="str">
        <f>VLOOKUP($B16,'BaseLine Data'!$B9:$AT21,5,FALSE)</f>
        <v>bungalow</v>
      </c>
      <c r="G16" s="18">
        <f>VLOOKUP($B16,'BaseLine Data'!$B9:$AT21,6,FALSE)</f>
        <v>1.5</v>
      </c>
      <c r="H16" s="18">
        <f>VLOOKUP($B16,'BaseLine Data'!$B9:$AT21,7,FALSE)</f>
        <v>1905</v>
      </c>
      <c r="I16" s="18" t="str">
        <f>VLOOKUP($B16,'BaseLine Data'!$B9:$AT21,8,FALSE)</f>
        <v>Complete</v>
      </c>
      <c r="J16" s="18" t="str">
        <f>VLOOKUP($B16,'BaseLine Data'!$B9:$AT21,9,FALSE)</f>
        <v>Y</v>
      </c>
      <c r="K16" s="18" t="str">
        <f>VLOOKUP($B16,'BaseLine Data'!$B9:$AT21,10,FALSE)</f>
        <v>take-off from model</v>
      </c>
      <c r="L16" s="18" t="str">
        <f>VLOOKUP($B16,'BaseLine Data'!$B9:$AT21,11,FALSE)</f>
        <v>Included</v>
      </c>
      <c r="M16" s="18" t="str">
        <f>VLOOKUP($B16,'BaseLine Data'!$B9:$AT21,12,FALSE)</f>
        <v>Included</v>
      </c>
      <c r="N16" s="18">
        <f>VLOOKUP($B16,'BaseLine Data'!$B9:$AT21,13,FALSE)</f>
        <v>3484</v>
      </c>
      <c r="O16" s="18">
        <f>VLOOKUP($B16,'BaseLine Data'!$B9:$AT21,14,FALSE)</f>
        <v>4576</v>
      </c>
      <c r="P16" s="18">
        <f>VLOOKUP($B16,'BaseLine Data'!$B9:$AT21,15,FALSE)</f>
        <v>5340</v>
      </c>
      <c r="Q16" s="18">
        <f>VLOOKUP($B16,'BaseLine Data'!$B9:$AT21,16,FALSE)</f>
        <v>6806</v>
      </c>
      <c r="R16" s="18">
        <f>VLOOKUP($B16,'BaseLine Data'!$B9:$AT21,17,FALSE)</f>
        <v>16350</v>
      </c>
      <c r="S16" s="18">
        <f>VLOOKUP($B16,'BaseLine Data'!$B9:$AS21,18,FALSE)</f>
        <v>36346</v>
      </c>
      <c r="T16" s="18">
        <f>VLOOKUP($B16,'BaseLine Data'!$B9:$AS21,19,FALSE)</f>
        <v>5050</v>
      </c>
      <c r="U16" s="18">
        <f>VLOOKUP($B16,'BaseLine Data'!$B9:$AS21,20,FALSE)</f>
        <v>762</v>
      </c>
      <c r="V16" s="35">
        <v>18.53</v>
      </c>
      <c r="W16" s="28">
        <f t="shared" si="5"/>
        <v>1.2579100863919002</v>
      </c>
      <c r="X16" s="29">
        <f t="shared" si="1"/>
        <v>0.94569288389513106</v>
      </c>
      <c r="Y16" s="28">
        <f t="shared" si="2"/>
        <v>0.11196003526300323</v>
      </c>
      <c r="Z16" s="29">
        <f t="shared" si="3"/>
        <v>1.4494833524684272</v>
      </c>
      <c r="AA16" s="28">
        <f t="shared" si="4"/>
        <v>0.16652097902097901</v>
      </c>
      <c r="AB16" s="52">
        <f>VLOOKUP($B16,'BaseLine Data'!$B9:$AS21,40,FALSE)</f>
        <v>3</v>
      </c>
      <c r="AC16" s="52">
        <f>VLOOKUP($B16,'BaseLine Data'!$B9:$AS21,44,FALSE)</f>
        <v>5</v>
      </c>
    </row>
    <row r="17" spans="1:29" ht="70">
      <c r="A17" s="17" t="s">
        <v>24</v>
      </c>
      <c r="B17" s="18" t="s">
        <v>36</v>
      </c>
      <c r="C17" s="18">
        <f>VLOOKUP($B17,'BaseLine Data'!$B9:$AS21,2,FALSE)</f>
        <v>1</v>
      </c>
      <c r="D17" s="18" t="str">
        <f>VLOOKUP($B17,'BaseLine Data'!$B9:$AS21,3,FALSE)</f>
        <v>Lancaster</v>
      </c>
      <c r="E17" s="18">
        <f>VLOOKUP($B17,'BaseLine Data'!$B9:$AS21,4,FALSE)</f>
        <v>908</v>
      </c>
      <c r="F17" s="18" t="str">
        <f>VLOOKUP($B17,'BaseLine Data'!$B9:$AS21,5,FALSE)</f>
        <v>Cape to Colonial</v>
      </c>
      <c r="G17" s="18">
        <f>VLOOKUP($B17,'BaseLine Data'!$B9:$AS21,6,FALSE)</f>
        <v>2</v>
      </c>
      <c r="H17" s="18">
        <f>VLOOKUP($B17,'BaseLine Data'!$B9:$AS21,7,FALSE)</f>
        <v>1900</v>
      </c>
      <c r="I17" s="18" t="str">
        <f>VLOOKUP($B17,'BaseLine Data'!$B9:$AS21,8,FALSE)</f>
        <v>Complete</v>
      </c>
      <c r="J17" s="18" t="str">
        <f>VLOOKUP($B17,'BaseLine Data'!$B9:$AS21,9,FALSE)</f>
        <v>Y</v>
      </c>
      <c r="K17" s="18">
        <f>VLOOKUP($B17,'BaseLine Data'!$B9:$AS21,10,FALSE)</f>
        <v>0</v>
      </c>
      <c r="L17" s="18">
        <f>VLOOKUP($B17,'BaseLine Data'!$B9:$AS21,11,FALSE)</f>
        <v>0</v>
      </c>
      <c r="M17" s="18">
        <f>VLOOKUP($B17,'BaseLine Data'!$B9:$AS21,12,FALSE)</f>
        <v>0</v>
      </c>
      <c r="N17" s="18">
        <f>VLOOKUP($B17,'BaseLine Data'!$B9:$AS21,13,FALSE)</f>
        <v>980</v>
      </c>
      <c r="O17" s="18">
        <f>VLOOKUP($B17,'BaseLine Data'!$B9:$AS21,14,FALSE)</f>
        <v>1440</v>
      </c>
      <c r="P17" s="18">
        <f>VLOOKUP($B17,'BaseLine Data'!$B9:$AS21,15,FALSE)</f>
        <v>2583</v>
      </c>
      <c r="Q17" s="18">
        <f>VLOOKUP($B17,'BaseLine Data'!$B9:$AS21,16,FALSE)</f>
        <v>3222</v>
      </c>
      <c r="R17" s="18">
        <f>VLOOKUP($B17,'BaseLine Data'!$B9:$AS21,17,FALSE)</f>
        <v>7080</v>
      </c>
      <c r="S17" s="18">
        <f>VLOOKUP($B17,'BaseLine Data'!$B9:$AS21,18,FALSE)</f>
        <v>12336</v>
      </c>
      <c r="T17" s="18">
        <f>VLOOKUP($B17,'BaseLine Data'!$B9:$AS21,19,FALSE)</f>
        <v>4254</v>
      </c>
      <c r="U17" s="18">
        <f>VLOOKUP($B17,'BaseLine Data'!$B9:$AS21,20,FALSE)</f>
        <v>293</v>
      </c>
      <c r="V17" s="30">
        <f>T17*60*(1/R17)</f>
        <v>36.050847457627121</v>
      </c>
      <c r="W17" s="28">
        <f t="shared" si="5"/>
        <v>1.4250972762645915</v>
      </c>
      <c r="X17" s="29">
        <f t="shared" si="1"/>
        <v>1.6469221835075494</v>
      </c>
      <c r="Y17" s="28">
        <f t="shared" si="2"/>
        <v>9.0937306021104905E-2</v>
      </c>
      <c r="Z17" s="29">
        <f t="shared" si="3"/>
        <v>4.3408163265306126</v>
      </c>
      <c r="AA17" s="28">
        <f t="shared" si="4"/>
        <v>0.20347222222222222</v>
      </c>
      <c r="AB17" s="52">
        <f>VLOOKUP($B17,'BaseLine Data'!$B9:$AS21,40,FALSE)</f>
        <v>3</v>
      </c>
      <c r="AC17" s="52">
        <f>VLOOKUP($B17,'BaseLine Data'!$B9:$AS21,44,FALSE)</f>
        <v>10</v>
      </c>
    </row>
    <row r="18" spans="1:29">
      <c r="A18" s="17" t="s">
        <v>24</v>
      </c>
      <c r="B18" s="18" t="s">
        <v>37</v>
      </c>
      <c r="C18" s="18">
        <f>VLOOKUP($B18,'BaseLine Data'!$B9:$AS21,2,FALSE)</f>
        <v>1</v>
      </c>
      <c r="D18" s="18" t="str">
        <f>VLOOKUP($B18,'BaseLine Data'!$B9:$AS21,3,FALSE)</f>
        <v>Brookline</v>
      </c>
      <c r="E18" s="18">
        <f>VLOOKUP($B18,'BaseLine Data'!$B9:$AS21,4,FALSE)</f>
        <v>2284</v>
      </c>
      <c r="F18" s="18" t="str">
        <f>VLOOKUP($B18,'BaseLine Data'!$B9:$AS21,5,FALSE)</f>
        <v>Victorian</v>
      </c>
      <c r="G18" s="18">
        <f>VLOOKUP($B18,'BaseLine Data'!$B9:$AS21,6,FALSE)</f>
        <v>3</v>
      </c>
      <c r="H18" s="18">
        <f>VLOOKUP($B18,'BaseLine Data'!$B9:$AS21,7,FALSE)</f>
        <v>1899</v>
      </c>
      <c r="I18" s="18" t="str">
        <f>VLOOKUP($B18,'BaseLine Data'!$B9:$AS21,8,FALSE)</f>
        <v>Complete</v>
      </c>
      <c r="J18" s="18">
        <f>VLOOKUP($B18,'BaseLine Data'!$B9:$AS21,9,FALSE)</f>
        <v>0</v>
      </c>
      <c r="K18" s="18">
        <f>VLOOKUP($B18,'BaseLine Data'!$B9:$AS21,10,FALSE)</f>
        <v>0</v>
      </c>
      <c r="L18" s="18">
        <f>VLOOKUP($B18,'BaseLine Data'!$B9:$AS21,11,FALSE)</f>
        <v>0</v>
      </c>
      <c r="M18" s="18">
        <f>VLOOKUP($B18,'BaseLine Data'!$B9:$AS21,12,FALSE)</f>
        <v>0</v>
      </c>
      <c r="N18" s="18">
        <f>VLOOKUP($B18,'BaseLine Data'!$B9:$AS21,13,FALSE)</f>
        <v>3078</v>
      </c>
      <c r="O18" s="18">
        <f>VLOOKUP($B18,'BaseLine Data'!$B9:$AS21,14,FALSE)</f>
        <v>3174</v>
      </c>
      <c r="P18" s="18">
        <f>VLOOKUP($B18,'BaseLine Data'!$B9:$AS21,15,FALSE)</f>
        <v>5794</v>
      </c>
      <c r="Q18" s="18">
        <f>VLOOKUP($B18,'BaseLine Data'!$B9:$AS21,16,FALSE)</f>
        <v>5924</v>
      </c>
      <c r="R18" s="18">
        <f>VLOOKUP($B18,'BaseLine Data'!$B9:$AS21,17,FALSE)</f>
        <v>26187</v>
      </c>
      <c r="S18" s="18">
        <f>VLOOKUP($B18,'BaseLine Data'!$B9:$AS21,18,FALSE)</f>
        <v>26187</v>
      </c>
      <c r="T18" s="18">
        <f>VLOOKUP($B18,'BaseLine Data'!$B9:$AS21,19,FALSE)</f>
        <v>1640</v>
      </c>
      <c r="U18" s="18">
        <f>VLOOKUP($B18,'BaseLine Data'!$B9:$AS21,20,FALSE)</f>
        <v>655</v>
      </c>
      <c r="V18" s="30">
        <f>T18*60*(1/R18)</f>
        <v>3.7575896437163481</v>
      </c>
      <c r="W18" s="28">
        <f t="shared" si="5"/>
        <v>1.5007446442891512</v>
      </c>
      <c r="X18" s="29">
        <f t="shared" si="1"/>
        <v>0.28305143251639625</v>
      </c>
      <c r="Y18" s="28">
        <f t="shared" si="2"/>
        <v>0.11056718433490885</v>
      </c>
      <c r="Z18" s="29">
        <f t="shared" si="3"/>
        <v>0.53281351526965559</v>
      </c>
      <c r="AA18" s="28">
        <f t="shared" si="4"/>
        <v>0.20636420919974796</v>
      </c>
      <c r="AB18" s="52">
        <f>VLOOKUP($B18,'BaseLine Data'!$B9:$AS21,40,FALSE)</f>
        <v>3</v>
      </c>
      <c r="AC18" s="52">
        <f>VLOOKUP($B18,'BaseLine Data'!$B9:$AS21,44,FALSE)</f>
        <v>11</v>
      </c>
    </row>
    <row r="19" spans="1:29">
      <c r="A19" s="17" t="s">
        <v>24</v>
      </c>
      <c r="B19" s="18" t="s">
        <v>25</v>
      </c>
      <c r="C19" s="18">
        <f>VLOOKUP($B19,'BaseLine Data'!$B9:$AS21,2,FALSE)</f>
        <v>1</v>
      </c>
      <c r="D19" s="18" t="str">
        <f>VLOOKUP($B19,'BaseLine Data'!$B9:$AS21,3,FALSE)</f>
        <v>Belchertown</v>
      </c>
      <c r="E19" s="18">
        <f>VLOOKUP($B19,'BaseLine Data'!$B9:$AS21,4,FALSE)</f>
        <v>1352</v>
      </c>
      <c r="F19" s="18" t="str">
        <f>VLOOKUP($B19,'BaseLine Data'!$B9:$AS21,5,FALSE)</f>
        <v>Cape</v>
      </c>
      <c r="G19" s="18">
        <f>VLOOKUP($B19,'BaseLine Data'!$B9:$AS21,6,FALSE)</f>
        <v>1.5</v>
      </c>
      <c r="H19" s="18">
        <f>VLOOKUP($B19,'BaseLine Data'!$B9:$AS21,7,FALSE)</f>
        <v>1760</v>
      </c>
      <c r="I19" s="18" t="str">
        <f>VLOOKUP($B19,'BaseLine Data'!$B9:$AS21,8,FALSE)</f>
        <v>Complete</v>
      </c>
      <c r="J19" s="18" t="str">
        <f>VLOOKUP($B19,'BaseLine Data'!$B9:$AS21,9,FALSE)</f>
        <v>Y</v>
      </c>
      <c r="K19" s="18" t="str">
        <f>VLOOKUP($B19,'BaseLine Data'!$B9:$AS21,10,FALSE)</f>
        <v>W.A.G.</v>
      </c>
      <c r="L19" s="18" t="str">
        <f>VLOOKUP($B19,'BaseLine Data'!$B9:$AS21,11,FALSE)</f>
        <v>Excluded</v>
      </c>
      <c r="M19" s="18" t="str">
        <f>VLOOKUP($B19,'BaseLine Data'!$B9:$AS21,12,FALSE)</f>
        <v>Included</v>
      </c>
      <c r="N19" s="18">
        <f>VLOOKUP($B19,'BaseLine Data'!$B9:$AS21,13,FALSE)</f>
        <v>1435</v>
      </c>
      <c r="O19" s="18">
        <f>VLOOKUP($B19,'BaseLine Data'!$B9:$AS21,14,FALSE)</f>
        <v>1907</v>
      </c>
      <c r="P19" s="18">
        <f>VLOOKUP($B19,'BaseLine Data'!$B9:$AS21,15,FALSE)</f>
        <v>3726</v>
      </c>
      <c r="Q19" s="18">
        <f>VLOOKUP($B19,'BaseLine Data'!$B9:$AS21,16,FALSE)</f>
        <v>4066</v>
      </c>
      <c r="R19" s="18">
        <f>VLOOKUP($B19,'BaseLine Data'!$B9:$AS21,17,FALSE)</f>
        <v>9448</v>
      </c>
      <c r="S19" s="18">
        <f>VLOOKUP($B19,'BaseLine Data'!$B9:$AS21,18,FALSE)</f>
        <v>14972</v>
      </c>
      <c r="T19" s="18">
        <f>VLOOKUP($B19,'BaseLine Data'!$B9:$AS21,19,FALSE)</f>
        <v>9079</v>
      </c>
      <c r="U19" s="18">
        <f>VLOOKUP($B19,'BaseLine Data'!$B9:$AS21,20,FALSE)</f>
        <v>468</v>
      </c>
      <c r="V19" s="30">
        <f>T19*60*(1/R19)</f>
        <v>57.656646909398809</v>
      </c>
      <c r="W19" s="28">
        <f t="shared" si="5"/>
        <v>1.8755009350788139</v>
      </c>
      <c r="X19" s="38">
        <f t="shared" si="1"/>
        <v>2.4366612989801397</v>
      </c>
      <c r="Y19" s="40">
        <f t="shared" si="2"/>
        <v>0.11510083620265617</v>
      </c>
      <c r="Z19" s="38">
        <f t="shared" si="3"/>
        <v>6.3268292682926832</v>
      </c>
      <c r="AA19" s="40">
        <f t="shared" si="4"/>
        <v>0.2454116413214473</v>
      </c>
      <c r="AB19" s="52">
        <f>VLOOKUP($B19,'BaseLine Data'!$B9:$AS21,40,FALSE)</f>
        <v>3</v>
      </c>
      <c r="AC19" s="52">
        <f>VLOOKUP($B19,'BaseLine Data'!$B9:$AS21,44,FALSE)</f>
        <v>1</v>
      </c>
    </row>
    <row r="20" spans="1:29">
      <c r="A20" s="17" t="s">
        <v>24</v>
      </c>
      <c r="B20" s="18" t="s">
        <v>34</v>
      </c>
      <c r="C20" s="18">
        <f>VLOOKUP($B20,'BaseLine Data'!$B9:$AS21,2,FALSE)</f>
        <v>3</v>
      </c>
      <c r="D20" s="18" t="str">
        <f>VLOOKUP($B20,'BaseLine Data'!$B9:$AS21,3,FALSE)</f>
        <v>Jamaica Plain</v>
      </c>
      <c r="E20" s="18">
        <f>VLOOKUP($B20,'BaseLine Data'!$B9:$AS21,4,FALSE)</f>
        <v>3885</v>
      </c>
      <c r="F20" s="18" t="str">
        <f>VLOOKUP($B20,'BaseLine Data'!$B9:$AS21,5,FALSE)</f>
        <v>3-family</v>
      </c>
      <c r="G20" s="18">
        <f>VLOOKUP($B20,'BaseLine Data'!$B9:$AS21,6,FALSE)</f>
        <v>3</v>
      </c>
      <c r="H20" s="18">
        <f>VLOOKUP($B20,'BaseLine Data'!$B9:$AS21,7,FALSE)</f>
        <v>1907</v>
      </c>
      <c r="I20" s="18" t="str">
        <f>VLOOKUP($B20,'BaseLine Data'!$B9:$AS21,8,FALSE)</f>
        <v>Complete</v>
      </c>
      <c r="J20" s="18">
        <f>VLOOKUP($B20,'BaseLine Data'!$B9:$AS21,9,FALSE)</f>
        <v>0</v>
      </c>
      <c r="K20" s="18">
        <f>VLOOKUP($B20,'BaseLine Data'!$B9:$AS21,10,FALSE)</f>
        <v>0</v>
      </c>
      <c r="L20" s="18">
        <f>VLOOKUP($B20,'BaseLine Data'!$B9:$AS21,11,FALSE)</f>
        <v>0</v>
      </c>
      <c r="M20" s="18">
        <f>VLOOKUP($B20,'BaseLine Data'!$B9:$AS21,12,FALSE)</f>
        <v>0</v>
      </c>
      <c r="N20" s="18">
        <f>VLOOKUP($B20,'BaseLine Data'!$B9:$AS21,13,FALSE)</f>
        <v>3885</v>
      </c>
      <c r="O20" s="18">
        <f>VLOOKUP($B20,'BaseLine Data'!$B9:$AS21,14,FALSE)</f>
        <v>3885</v>
      </c>
      <c r="P20" s="18">
        <f>VLOOKUP($B20,'BaseLine Data'!$B9:$AS21,15,FALSE)</f>
        <v>6308</v>
      </c>
      <c r="Q20" s="18">
        <f>VLOOKUP($B20,'BaseLine Data'!$B9:$AS21,16,FALSE)</f>
        <v>7456</v>
      </c>
      <c r="R20" s="18">
        <f>VLOOKUP($B20,'BaseLine Data'!$B9:$AS21,17,FALSE)</f>
        <v>42586</v>
      </c>
      <c r="S20" s="18">
        <f>VLOOKUP($B20,'BaseLine Data'!$B9:$AS21,18,FALSE)</f>
        <v>42586</v>
      </c>
      <c r="T20" s="18">
        <f>VLOOKUP($B20,'BaseLine Data'!$B9:$AS21,19,FALSE)</f>
        <v>7729</v>
      </c>
      <c r="U20" s="18">
        <f>VLOOKUP($B20,'BaseLine Data'!$B9:$AS21,20,FALSE)</f>
        <v>1802</v>
      </c>
      <c r="V20" s="30">
        <f>T20*60*(1/R20)</f>
        <v>10.889494199971821</v>
      </c>
      <c r="W20" s="28">
        <f t="shared" si="5"/>
        <v>2.5388625369839852</v>
      </c>
      <c r="X20" s="29">
        <f t="shared" si="1"/>
        <v>1.2252694990488269</v>
      </c>
      <c r="Y20" s="28">
        <f t="shared" si="2"/>
        <v>0.24168454935622319</v>
      </c>
      <c r="Z20" s="29">
        <f t="shared" si="3"/>
        <v>1.9894465894465894</v>
      </c>
      <c r="AA20" s="28">
        <f t="shared" si="4"/>
        <v>0.46383526383526386</v>
      </c>
      <c r="AB20" s="52">
        <f>VLOOKUP($B20,'BaseLine Data'!$B9:$AS21,40,FALSE)</f>
        <v>3</v>
      </c>
      <c r="AC20" s="52">
        <f>VLOOKUP($B20,'BaseLine Data'!$B9:$AS21,44,FALSE)</f>
        <v>8</v>
      </c>
    </row>
    <row r="21" spans="1:29">
      <c r="A21" s="17" t="s">
        <v>24</v>
      </c>
      <c r="B21" s="18" t="s">
        <v>33</v>
      </c>
      <c r="C21" s="18">
        <f>VLOOKUP($B21,'BaseLine Data'!$B9:$AS21,2,FALSE)</f>
        <v>1</v>
      </c>
      <c r="D21" s="18" t="str">
        <f>VLOOKUP($B21,'BaseLine Data'!$B9:$AS21,3,FALSE)</f>
        <v>Newton</v>
      </c>
      <c r="E21" s="18">
        <f>VLOOKUP($B21,'BaseLine Data'!$B9:$AS21,4,FALSE)</f>
        <v>1724</v>
      </c>
      <c r="F21" s="18" t="str">
        <f>VLOOKUP($B21,'BaseLine Data'!$B9:$AS21,5,FALSE)</f>
        <v>Colonial</v>
      </c>
      <c r="G21" s="18">
        <f>VLOOKUP($B21,'BaseLine Data'!$B9:$AS21,6,FALSE)</f>
        <v>1</v>
      </c>
      <c r="H21" s="18">
        <f>VLOOKUP($B21,'BaseLine Data'!$B9:$AS21,7,FALSE)</f>
        <v>1930</v>
      </c>
      <c r="I21" s="18" t="str">
        <f>VLOOKUP($B21,'BaseLine Data'!$B9:$AS21,8,FALSE)</f>
        <v>Complete</v>
      </c>
      <c r="J21" s="18" t="str">
        <f>VLOOKUP($B21,'BaseLine Data'!$B9:$AS21,9,FALSE)</f>
        <v>Y</v>
      </c>
      <c r="K21" s="18">
        <f>VLOOKUP($B21,'BaseLine Data'!$B9:$AS21,10,FALSE)</f>
        <v>0</v>
      </c>
      <c r="L21" s="18">
        <f>VLOOKUP($B21,'BaseLine Data'!$B9:$AS21,11,FALSE)</f>
        <v>0</v>
      </c>
      <c r="M21" s="18">
        <f>VLOOKUP($B21,'BaseLine Data'!$B9:$AS21,12,FALSE)</f>
        <v>0</v>
      </c>
      <c r="N21" s="18">
        <f>VLOOKUP($B21,'BaseLine Data'!$B9:$AS21,13,FALSE)</f>
        <v>1815</v>
      </c>
      <c r="O21" s="18">
        <f>VLOOKUP($B21,'BaseLine Data'!$B9:$AS21,14,FALSE)</f>
        <v>2199</v>
      </c>
      <c r="P21" s="18">
        <f>VLOOKUP($B21,'BaseLine Data'!$B9:$AS21,15,FALSE)</f>
        <v>3729</v>
      </c>
      <c r="Q21" s="18">
        <f>VLOOKUP($B21,'BaseLine Data'!$B9:$AS21,16,FALSE)</f>
        <v>4337</v>
      </c>
      <c r="R21" s="18">
        <f>VLOOKUP($B21,'BaseLine Data'!$B9:$AS21,17,FALSE)</f>
        <v>18831</v>
      </c>
      <c r="S21" s="18">
        <f>VLOOKUP($B21,'BaseLine Data'!$B9:$AS21,18,FALSE)</f>
        <v>21904</v>
      </c>
      <c r="T21" s="18">
        <f>VLOOKUP($B21,'BaseLine Data'!$B9:$AS21,19,FALSE)</f>
        <v>3199</v>
      </c>
      <c r="U21" s="18">
        <f>VLOOKUP($B21,'BaseLine Data'!$B9:$AS21,20,FALSE)</f>
        <v>1299</v>
      </c>
      <c r="V21" s="30">
        <f>T21*60*(1/R21)</f>
        <v>10.192767245499441</v>
      </c>
      <c r="W21" s="28">
        <f t="shared" si="5"/>
        <v>3.558254200146092</v>
      </c>
      <c r="X21" s="29">
        <f t="shared" si="1"/>
        <v>0.857870742826495</v>
      </c>
      <c r="Y21" s="28">
        <f t="shared" si="2"/>
        <v>0.29951579432787639</v>
      </c>
      <c r="Z21" s="29">
        <f t="shared" si="3"/>
        <v>1.7625344352617081</v>
      </c>
      <c r="AA21" s="28">
        <f t="shared" si="4"/>
        <v>0.59072305593451568</v>
      </c>
      <c r="AB21" s="52">
        <f>VLOOKUP($B21,'BaseLine Data'!$B9:$AS21,40,FALSE)</f>
        <v>3</v>
      </c>
      <c r="AC21" s="52">
        <f>VLOOKUP($B21,'BaseLine Data'!$B9:$AS21,44,FALSE)</f>
        <v>7</v>
      </c>
    </row>
    <row r="23" spans="1:29">
      <c r="B23" s="51"/>
      <c r="O23" s="50"/>
      <c r="U23" s="47"/>
      <c r="V23" s="45"/>
      <c r="W23" s="47">
        <f>AVERAGEA((W14:W21))</f>
        <v>1.714759670834372</v>
      </c>
      <c r="X23" s="45"/>
      <c r="Y23" s="47"/>
      <c r="AA23" s="45"/>
    </row>
    <row r="24" spans="1:29">
      <c r="B24" s="51"/>
      <c r="U24" s="47"/>
      <c r="V24" s="47"/>
      <c r="W24" s="47">
        <f>AVERAGEA(W10:W13)</f>
        <v>1.1779211286644178</v>
      </c>
      <c r="X24" s="47"/>
      <c r="Y24" s="47"/>
    </row>
    <row r="25" spans="1:29">
      <c r="B25" s="51"/>
      <c r="U25" s="47"/>
      <c r="V25" s="45"/>
      <c r="W25" s="47"/>
      <c r="X25" s="45"/>
      <c r="Y25" s="47"/>
    </row>
    <row r="26" spans="1:29">
      <c r="B26" s="51"/>
      <c r="U26" s="47"/>
      <c r="V26" s="47"/>
      <c r="W26" s="47"/>
      <c r="X26" s="47"/>
      <c r="Y26" s="47"/>
    </row>
  </sheetData>
  <sortState ref="B9:AC21">
    <sortCondition ref="AB9:AB21"/>
    <sortCondition ref="W9:W21"/>
  </sortState>
  <pageMargins left="0.7" right="0.7" top="0.75" bottom="0.75" header="0.3" footer="0.3"/>
  <pageSetup orientation="portrait"/>
  <drawing r:id="rId1"/>
  <extLst>
    <ext xmlns:x14="http://schemas.microsoft.com/office/spreadsheetml/2009/9/main" uri="{CCE6A557-97BC-4b89-ADB6-D9C93CAAB3DF}">
      <x14:dataValidations xmlns:xm="http://schemas.microsoft.com/office/excel/2006/main" disablePrompts="1" count="2">
        <x14:dataValidation type="list" allowBlank="1" showInputMessage="1" showErrorMessage="1">
          <x14:formula1>
            <xm:f>'[1]Project Statistics'!#REF!</xm:f>
          </x14:formula1>
          <xm:sqref>WVM9:WVM21 WLQ9:WLQ21 WBU9:WBU21 VRY9:VRY21 VIC9:VIC21 UYG9:UYG21 UOK9:UOK21 UEO9:UEO21 TUS9:TUS21 TKW9:TKW21 TBA9:TBA21 SRE9:SRE21 SHI9:SHI21 RXM9:RXM21 RNQ9:RNQ21 RDU9:RDU21 QTY9:QTY21 QKC9:QKC21 QAG9:QAG21 PQK9:PQK21 PGO9:PGO21 OWS9:OWS21 OMW9:OMW21 ODA9:ODA21 NTE9:NTE21 NJI9:NJI21 MZM9:MZM21 MPQ9:MPQ21 MFU9:MFU21 LVY9:LVY21 LMC9:LMC21 LCG9:LCG21 KSK9:KSK21 KIO9:KIO21 JYS9:JYS21 JOW9:JOW21 JFA9:JFA21 IVE9:IVE21 ILI9:ILI21 IBM9:IBM21 HRQ9:HRQ21 HHU9:HHU21 GXY9:GXY21 GOC9:GOC21 GEG9:GEG21 FUK9:FUK21 FKO9:FKO21 FAS9:FAS21 EQW9:EQW21 EHA9:EHA21 DXE9:DXE21 DNI9:DNI21 DDM9:DDM21 CTQ9:CTQ21 CJU9:CJU21 BZY9:BZY21 BQC9:BQC21 BGG9:BGG21 AWK9:AWK21 AMO9:AMO21 ACS9:ACS21 SW9:SW21 JA9:JA21</xm:sqref>
        </x14:dataValidation>
        <x14:dataValidation type="list" allowBlank="1" showInputMessage="1" showErrorMessage="1">
          <x14:formula1>
            <xm:f>'[1]Project Statistics'!#REF!</xm:f>
          </x14:formula1>
          <xm:sqref>WVN9:WVO21 WLR9:WLS21 WBV9:WBW21 VRZ9:VSA21 VID9:VIE21 UYH9:UYI21 UOL9:UOM21 UEP9:UEQ21 TUT9:TUU21 TKX9:TKY21 TBB9:TBC21 SRF9:SRG21 SHJ9:SHK21 RXN9:RXO21 RNR9:RNS21 RDV9:RDW21 QTZ9:QUA21 QKD9:QKE21 QAH9:QAI21 PQL9:PQM21 PGP9:PGQ21 OWT9:OWU21 OMX9:OMY21 ODB9:ODC21 NTF9:NTG21 NJJ9:NJK21 MZN9:MZO21 MPR9:MPS21 MFV9:MFW21 LVZ9:LWA21 LMD9:LME21 LCH9:LCI21 KSL9:KSM21 KIP9:KIQ21 JYT9:JYU21 JOX9:JOY21 JFB9:JFC21 IVF9:IVG21 ILJ9:ILK21 IBN9:IBO21 HRR9:HRS21 HHV9:HHW21 GXZ9:GYA21 GOD9:GOE21 GEH9:GEI21 FUL9:FUM21 FKP9:FKQ21 FAT9:FAU21 EQX9:EQY21 EHB9:EHC21 DXF9:DXG21 DNJ9:DNK21 DDN9:DDO21 CTR9:CTS21 CJV9:CJW21 BZZ9:CAA21 BQD9:BQE21 BGH9:BGI21 AWL9:AWM21 AMP9:AMQ21 ACT9:ACU21 SX9:SY21 JB9:JC21</xm:sqref>
        </x14:dataValidation>
      </x14:dataValidations>
    </ex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8.83203125" defaultRowHeight="14" x14ac:dyDescent="0"/>
  <sheetData/>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10</vt:i4>
      </vt:variant>
    </vt:vector>
  </HeadingPairs>
  <TitlesOfParts>
    <vt:vector size="10" baseType="lpstr">
      <vt:lpstr>BaseLine Data</vt:lpstr>
      <vt:lpstr>Charts</vt:lpstr>
      <vt:lpstr>Total CFM 50 Sort</vt:lpstr>
      <vt:lpstr>Ext Insul</vt:lpstr>
      <vt:lpstr>Spray Foam Use </vt:lpstr>
      <vt:lpstr>Spray Foam Air Barrier</vt:lpstr>
      <vt:lpstr>Unvented vs Vented Attic</vt:lpstr>
      <vt:lpstr>Basement Treatment</vt:lpstr>
      <vt:lpstr>Sheet2</vt:lpstr>
      <vt:lpstr>Sheet3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Cathy</dc:creator>
  <cp:lastModifiedBy>Ken Neuhauser</cp:lastModifiedBy>
  <dcterms:created xsi:type="dcterms:W3CDTF">2012-06-13T20:45:53Z</dcterms:created>
  <dcterms:modified xsi:type="dcterms:W3CDTF">2013-03-01T23:04:11Z</dcterms:modified>
</cp:coreProperties>
</file>